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sperityconnectionstl.sharepoint.com/sites/SharedFiles/Shared Documents/2 - OPERATIONS/Financials/2026/Budget/"/>
    </mc:Choice>
  </mc:AlternateContent>
  <xr:revisionPtr revIDLastSave="2125" documentId="13_ncr:1_{A320AFA1-0172-4A5A-B72B-2A59051A1D73}" xr6:coauthVersionLast="47" xr6:coauthVersionMax="47" xr10:uidLastSave="{DA8367CD-51D0-4DC4-8591-402AEFFCAF8B}"/>
  <bookViews>
    <workbookView xWindow="-108" yWindow="-108" windowWidth="23256" windowHeight="13896" tabRatio="792" xr2:uid="{00000000-000D-0000-FFFF-FFFF00000000}"/>
  </bookViews>
  <sheets>
    <sheet name="2026 Budget Monthly" sheetId="25" r:id="rId1"/>
    <sheet name="Income" sheetId="23" r:id="rId2"/>
    <sheet name="Staff" sheetId="12" r:id="rId3"/>
    <sheet name="6005 Consulting" sheetId="36" r:id="rId4"/>
    <sheet name="6011 HR" sheetId="42" r:id="rId5"/>
    <sheet name="6020 Accounting" sheetId="37" r:id="rId6"/>
    <sheet name="6025 Outside Services" sheetId="38" r:id="rId7"/>
    <sheet name="6208 Web-Based Services" sheetId="39" r:id="rId8"/>
    <sheet name="6222 PR &amp; Outreach" sheetId="41" r:id="rId9"/>
  </sheets>
  <definedNames>
    <definedName name="_xlnm._FilterDatabase" localSheetId="1" hidden="1">Income!$A$2:$G$28</definedName>
    <definedName name="_xlnm.Print_Area" localSheetId="0">'2026 Budget Monthly'!$A$1:$O$50</definedName>
    <definedName name="_xlnm.Print_Area" localSheetId="2">Staff!$A$1:$O$72</definedName>
    <definedName name="_xlnm.Print_Titles" localSheetId="0">'2026 Budget Monthly'!$1:$1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25" l="1"/>
  <c r="B53" i="25" s="1"/>
  <c r="B8" i="12"/>
  <c r="N12" i="25"/>
  <c r="I55" i="12"/>
  <c r="C88" i="12" s="1"/>
  <c r="F66" i="12"/>
  <c r="F71" i="12"/>
  <c r="F73" i="12"/>
  <c r="B53" i="12"/>
  <c r="C89" i="12"/>
  <c r="C86" i="12"/>
  <c r="C85" i="12"/>
  <c r="N13" i="25"/>
  <c r="D3" i="25"/>
  <c r="N3" i="25" s="1"/>
  <c r="N7" i="25" s="1"/>
  <c r="J13" i="23"/>
  <c r="D31" i="23"/>
  <c r="J7" i="23"/>
  <c r="D32" i="23"/>
  <c r="M10" i="23"/>
  <c r="M21" i="23" s="1"/>
  <c r="J8" i="23"/>
  <c r="J31" i="23"/>
  <c r="J32" i="23"/>
  <c r="J34" i="23"/>
  <c r="M13" i="23"/>
  <c r="M11" i="23"/>
  <c r="M9" i="23"/>
  <c r="M8" i="23"/>
  <c r="J11" i="23"/>
  <c r="B2" i="25"/>
  <c r="M19" i="23"/>
  <c r="M18" i="23"/>
  <c r="M16" i="23"/>
  <c r="M14" i="23"/>
  <c r="C90" i="12" l="1"/>
  <c r="C91" i="12"/>
  <c r="C92" i="12"/>
  <c r="C93" i="12"/>
  <c r="C94" i="12"/>
  <c r="C95" i="12"/>
  <c r="C96" i="12"/>
  <c r="C87" i="12"/>
  <c r="B56" i="12"/>
  <c r="M12" i="25"/>
  <c r="M15" i="25" s="1"/>
  <c r="G19" i="25" l="1"/>
  <c r="N44" i="25"/>
  <c r="B37" i="25"/>
  <c r="G37" i="25"/>
  <c r="H37" i="25"/>
  <c r="E37" i="25"/>
  <c r="K29" i="25"/>
  <c r="N29" i="25"/>
  <c r="B27" i="25"/>
  <c r="N27" i="25"/>
  <c r="M20" i="25"/>
  <c r="L20" i="25"/>
  <c r="K20" i="25"/>
  <c r="J20" i="25"/>
  <c r="I20" i="25"/>
  <c r="H20" i="25"/>
  <c r="G20" i="25"/>
  <c r="F20" i="25"/>
  <c r="E20" i="25"/>
  <c r="D20" i="25"/>
  <c r="C20" i="25"/>
  <c r="C21" i="25" s="1"/>
  <c r="B20" i="25"/>
  <c r="B21" i="25"/>
  <c r="N20" i="25"/>
  <c r="N21" i="25" s="1"/>
  <c r="N19" i="25"/>
  <c r="N18" i="25"/>
  <c r="M18" i="25" s="1"/>
  <c r="M16" i="25"/>
  <c r="L16" i="25"/>
  <c r="K16" i="25"/>
  <c r="J16" i="25"/>
  <c r="I16" i="25"/>
  <c r="H16" i="25"/>
  <c r="G16" i="25"/>
  <c r="F16" i="25"/>
  <c r="E16" i="25"/>
  <c r="D16" i="25"/>
  <c r="C16" i="25"/>
  <c r="B16" i="25"/>
  <c r="N28" i="25"/>
  <c r="B28" i="25" s="1"/>
  <c r="E9" i="41"/>
  <c r="E2" i="41"/>
  <c r="E15" i="39"/>
  <c r="E12" i="39"/>
  <c r="E11" i="39"/>
  <c r="E10" i="39"/>
  <c r="E9" i="39"/>
  <c r="E8" i="39"/>
  <c r="E7" i="39"/>
  <c r="E6" i="39"/>
  <c r="E5" i="39"/>
  <c r="E4" i="39"/>
  <c r="E3" i="39"/>
  <c r="E2" i="39"/>
  <c r="E6" i="38"/>
  <c r="E4" i="38"/>
  <c r="E7" i="41"/>
  <c r="E6" i="41"/>
  <c r="E5" i="41"/>
  <c r="E4" i="41"/>
  <c r="E3" i="41"/>
  <c r="E7" i="42"/>
  <c r="E5" i="42"/>
  <c r="E4" i="42"/>
  <c r="E3" i="42"/>
  <c r="E2" i="42"/>
  <c r="E3" i="38"/>
  <c r="E2" i="38"/>
  <c r="E5" i="37"/>
  <c r="E3" i="37"/>
  <c r="E2" i="37"/>
  <c r="E7" i="36"/>
  <c r="E4" i="36"/>
  <c r="E3" i="36"/>
  <c r="E2" i="36"/>
  <c r="D51" i="23"/>
  <c r="D45" i="23"/>
  <c r="N26" i="25"/>
  <c r="N25" i="25"/>
  <c r="N24" i="25"/>
  <c r="B46" i="12"/>
  <c r="I46" i="12"/>
  <c r="I45" i="12"/>
  <c r="I44" i="12"/>
  <c r="I43" i="12"/>
  <c r="I42" i="12"/>
  <c r="I41" i="12"/>
  <c r="J9" i="23"/>
  <c r="N17" i="25"/>
  <c r="M26" i="25"/>
  <c r="L26" i="25"/>
  <c r="K26" i="25"/>
  <c r="J26" i="25"/>
  <c r="I26" i="25"/>
  <c r="H26" i="25"/>
  <c r="G26" i="25"/>
  <c r="F26" i="25"/>
  <c r="M35" i="12"/>
  <c r="K36" i="12"/>
  <c r="K34" i="12"/>
  <c r="K33" i="12"/>
  <c r="K32" i="12"/>
  <c r="L32" i="12" s="1"/>
  <c r="M32" i="12" s="1"/>
  <c r="K31" i="12"/>
  <c r="K30" i="12"/>
  <c r="K29" i="12"/>
  <c r="K28" i="12"/>
  <c r="K27" i="12"/>
  <c r="K26" i="12"/>
  <c r="K25" i="12"/>
  <c r="K24" i="12"/>
  <c r="K23" i="12"/>
  <c r="K22" i="12"/>
  <c r="G22" i="12"/>
  <c r="F26" i="12"/>
  <c r="F22" i="12"/>
  <c r="N37" i="25" l="1"/>
  <c r="N16" i="25"/>
  <c r="I18" i="25"/>
  <c r="K18" i="25"/>
  <c r="J18" i="25"/>
  <c r="L18" i="25"/>
  <c r="B18" i="25"/>
  <c r="C18" i="25"/>
  <c r="D18" i="25"/>
  <c r="E18" i="25"/>
  <c r="F18" i="25"/>
  <c r="G18" i="25"/>
  <c r="H18" i="25"/>
  <c r="L27" i="25"/>
  <c r="I27" i="25"/>
  <c r="F27" i="25"/>
  <c r="C27" i="25"/>
  <c r="K27" i="25"/>
  <c r="J27" i="25"/>
  <c r="H27" i="25"/>
  <c r="G27" i="25"/>
  <c r="E27" i="25"/>
  <c r="D27" i="25"/>
  <c r="M27" i="25"/>
  <c r="B36" i="12" l="1"/>
  <c r="L36" i="12" s="1"/>
  <c r="M36" i="12" s="1"/>
  <c r="B34" i="12"/>
  <c r="L34" i="12" s="1"/>
  <c r="M34" i="12" s="1"/>
  <c r="B33" i="12"/>
  <c r="L33" i="12" s="1"/>
  <c r="M33" i="12" s="1"/>
  <c r="B31" i="12"/>
  <c r="L31" i="12" s="1"/>
  <c r="M31" i="12" s="1"/>
  <c r="B30" i="12"/>
  <c r="B29" i="12"/>
  <c r="L29" i="12" s="1"/>
  <c r="M29" i="12" s="1"/>
  <c r="B28" i="12"/>
  <c r="L28" i="12" s="1"/>
  <c r="M28" i="12" s="1"/>
  <c r="B27" i="12"/>
  <c r="L27" i="12" s="1"/>
  <c r="M27" i="12" s="1"/>
  <c r="B26" i="12"/>
  <c r="B25" i="12"/>
  <c r="L25" i="12" s="1"/>
  <c r="M25" i="12" s="1"/>
  <c r="B24" i="12"/>
  <c r="L24" i="12" s="1"/>
  <c r="M24" i="12" s="1"/>
  <c r="B23" i="12"/>
  <c r="L23" i="12" s="1"/>
  <c r="M23" i="12" s="1"/>
  <c r="B22" i="12"/>
  <c r="B51" i="12"/>
  <c r="I51" i="12"/>
  <c r="D2" i="25"/>
  <c r="N2" i="25" s="1"/>
  <c r="E30" i="12" l="1"/>
  <c r="L30" i="12" s="1"/>
  <c r="M30" i="12" s="1"/>
  <c r="E26" i="12"/>
  <c r="L26" i="12" s="1"/>
  <c r="M26" i="12" s="1"/>
  <c r="E22" i="12"/>
  <c r="L22" i="12"/>
  <c r="N43" i="25"/>
  <c r="E26" i="25"/>
  <c r="B26" i="25"/>
  <c r="C13" i="12"/>
  <c r="F15" i="12"/>
  <c r="G37" i="12"/>
  <c r="F37" i="12"/>
  <c r="D37" i="12"/>
  <c r="C37" i="12"/>
  <c r="C76" i="12"/>
  <c r="M22" i="12" l="1"/>
  <c r="D96" i="12"/>
  <c r="D95" i="12"/>
  <c r="D94" i="12"/>
  <c r="D93" i="12"/>
  <c r="D92" i="12"/>
  <c r="D91" i="12"/>
  <c r="D90" i="12"/>
  <c r="D88" i="12"/>
  <c r="D85" i="12"/>
  <c r="D87" i="12"/>
  <c r="D89" i="12"/>
  <c r="D86" i="12"/>
  <c r="I53" i="12"/>
  <c r="C15" i="12"/>
  <c r="C8" i="12"/>
  <c r="F8" i="12"/>
  <c r="G8" i="12" s="1"/>
  <c r="D46" i="12"/>
  <c r="D97" i="12" l="1"/>
  <c r="D8" i="12"/>
  <c r="E8" i="12" s="1"/>
  <c r="M28" i="25"/>
  <c r="F72" i="12"/>
  <c r="B52" i="12" s="1"/>
  <c r="F74" i="12"/>
  <c r="B55" i="12"/>
  <c r="F62" i="12"/>
  <c r="B42" i="12" s="1"/>
  <c r="F63" i="12"/>
  <c r="B43" i="12" s="1"/>
  <c r="F64" i="12"/>
  <c r="B44" i="12" s="1"/>
  <c r="F67" i="12"/>
  <c r="B47" i="12" s="1"/>
  <c r="F69" i="12"/>
  <c r="B49" i="12" s="1"/>
  <c r="F70" i="12"/>
  <c r="B50" i="12" s="1"/>
  <c r="G28" i="23" l="1"/>
  <c r="G7" i="23"/>
  <c r="G24" i="23"/>
  <c r="G17" i="23"/>
  <c r="G9" i="23"/>
  <c r="G13" i="23"/>
  <c r="G22" i="23"/>
  <c r="G5" i="23"/>
  <c r="G20" i="23"/>
  <c r="G23" i="23"/>
  <c r="G21" i="23"/>
  <c r="G14" i="23"/>
  <c r="G25" i="23"/>
  <c r="G8" i="23"/>
  <c r="G18" i="23"/>
  <c r="G26" i="23"/>
  <c r="G19" i="23"/>
  <c r="G10" i="23"/>
  <c r="G3" i="23"/>
  <c r="G11" i="23"/>
  <c r="G6" i="23"/>
  <c r="G12" i="23"/>
  <c r="G4" i="23"/>
  <c r="G27" i="23"/>
  <c r="G15" i="23"/>
  <c r="G16" i="23"/>
  <c r="F6" i="12"/>
  <c r="F17" i="12"/>
  <c r="G17" i="12" s="1"/>
  <c r="B54" i="12"/>
  <c r="I54" i="12" s="1"/>
  <c r="B37" i="12"/>
  <c r="E37" i="12"/>
  <c r="N4" i="25"/>
  <c r="N5" i="25"/>
  <c r="N6" i="25"/>
  <c r="K2" i="25"/>
  <c r="K7" i="25" s="1"/>
  <c r="I2" i="25"/>
  <c r="I7" i="25" s="1"/>
  <c r="G2" i="25"/>
  <c r="G7" i="25" s="1"/>
  <c r="F2" i="25"/>
  <c r="F7" i="25" s="1"/>
  <c r="D7" i="25"/>
  <c r="B7" i="25"/>
  <c r="M2" i="25"/>
  <c r="M7" i="25" s="1"/>
  <c r="L2" i="25"/>
  <c r="L7" i="25" s="1"/>
  <c r="J2" i="25"/>
  <c r="J7" i="25" s="1"/>
  <c r="H2" i="25"/>
  <c r="H7" i="25" s="1"/>
  <c r="C2" i="25"/>
  <c r="C54" i="12"/>
  <c r="D26" i="25"/>
  <c r="C26" i="25"/>
  <c r="E68" i="12"/>
  <c r="F68" i="12" s="1"/>
  <c r="B48" i="12" s="1"/>
  <c r="E65" i="12"/>
  <c r="F65" i="12" s="1"/>
  <c r="B45" i="12" s="1"/>
  <c r="G43" i="12"/>
  <c r="F5" i="12"/>
  <c r="G5" i="12" s="1"/>
  <c r="C5" i="12"/>
  <c r="B5" i="12"/>
  <c r="D5" i="12" s="1"/>
  <c r="E5" i="12" s="1"/>
  <c r="G55" i="12" l="1"/>
  <c r="C7" i="25"/>
  <c r="E2" i="25"/>
  <c r="E7" i="25" s="1"/>
  <c r="C17" i="12"/>
  <c r="B17" i="12"/>
  <c r="D17" i="12" s="1"/>
  <c r="B16" i="12"/>
  <c r="C16" i="12"/>
  <c r="C43" i="12"/>
  <c r="D43" i="12"/>
  <c r="E17" i="12" l="1"/>
  <c r="D54" i="12"/>
  <c r="E54" i="12" s="1"/>
  <c r="D55" i="12"/>
  <c r="D16" i="12"/>
  <c r="E16" i="12" s="1"/>
  <c r="C55" i="12"/>
  <c r="E43" i="12"/>
  <c r="H43" i="12" s="1"/>
  <c r="N39" i="25"/>
  <c r="B15" i="12"/>
  <c r="D15" i="12" s="1"/>
  <c r="E15" i="12" s="1"/>
  <c r="E55" i="12" l="1"/>
  <c r="H28" i="25"/>
  <c r="F28" i="25"/>
  <c r="E28" i="25"/>
  <c r="L28" i="25"/>
  <c r="K28" i="25"/>
  <c r="J28" i="25"/>
  <c r="I28" i="25"/>
  <c r="D28" i="25"/>
  <c r="C28" i="25"/>
  <c r="G28" i="25"/>
  <c r="D61" i="12"/>
  <c r="E61" i="12" s="1"/>
  <c r="F61" i="12" s="1"/>
  <c r="M21" i="25"/>
  <c r="B41" i="12" l="1"/>
  <c r="F76" i="12"/>
  <c r="H55" i="12"/>
  <c r="G21" i="25"/>
  <c r="K21" i="25"/>
  <c r="F21" i="25"/>
  <c r="H37" i="12"/>
  <c r="I37" i="12"/>
  <c r="D21" i="25"/>
  <c r="E21" i="25"/>
  <c r="H21" i="25"/>
  <c r="I21" i="25"/>
  <c r="J21" i="25"/>
  <c r="J37" i="12"/>
  <c r="L21" i="25"/>
  <c r="I52" i="12" l="1"/>
  <c r="F14" i="12"/>
  <c r="C14" i="12"/>
  <c r="G52" i="12"/>
  <c r="B14" i="12"/>
  <c r="N31" i="25"/>
  <c r="N35" i="25"/>
  <c r="N38" i="25"/>
  <c r="N32" i="25"/>
  <c r="D62" i="12"/>
  <c r="B6" i="12"/>
  <c r="N30" i="25"/>
  <c r="N33" i="25" l="1"/>
  <c r="C52" i="12"/>
  <c r="G14" i="12"/>
  <c r="D76" i="12"/>
  <c r="C3" i="12"/>
  <c r="B3" i="12"/>
  <c r="D52" i="12"/>
  <c r="D14" i="12"/>
  <c r="E14" i="12" s="1"/>
  <c r="G53" i="12"/>
  <c r="F3" i="12"/>
  <c r="G3" i="12" s="1"/>
  <c r="C53" i="12" l="1"/>
  <c r="G15" i="12"/>
  <c r="M47" i="25"/>
  <c r="D40" i="25"/>
  <c r="C40" i="25"/>
  <c r="B40" i="25"/>
  <c r="M40" i="25"/>
  <c r="L40" i="25"/>
  <c r="K40" i="25"/>
  <c r="J40" i="25"/>
  <c r="I40" i="25"/>
  <c r="H40" i="25"/>
  <c r="G40" i="25"/>
  <c r="F40" i="25"/>
  <c r="E40" i="25"/>
  <c r="E76" i="12"/>
  <c r="N46" i="25"/>
  <c r="E52" i="12"/>
  <c r="N34" i="25"/>
  <c r="D47" i="25"/>
  <c r="C47" i="25"/>
  <c r="D3" i="12"/>
  <c r="J47" i="25"/>
  <c r="F47" i="25"/>
  <c r="K47" i="25"/>
  <c r="N36" i="25"/>
  <c r="I47" i="25"/>
  <c r="L47" i="25"/>
  <c r="G47" i="25"/>
  <c r="E47" i="25"/>
  <c r="N42" i="25"/>
  <c r="H47" i="25"/>
  <c r="N45" i="25"/>
  <c r="B47" i="25"/>
  <c r="D53" i="12"/>
  <c r="N47" i="25" l="1"/>
  <c r="H52" i="12"/>
  <c r="B4" i="12"/>
  <c r="E53" i="12"/>
  <c r="N40" i="25" l="1"/>
  <c r="H53" i="12"/>
  <c r="M37" i="12" l="1"/>
  <c r="C41" i="12"/>
  <c r="L37" i="12"/>
  <c r="B11" i="12"/>
  <c r="G47" i="12" l="1"/>
  <c r="G46" i="12"/>
  <c r="G44" i="12"/>
  <c r="G41" i="12"/>
  <c r="G45" i="12"/>
  <c r="G42" i="12"/>
  <c r="G51" i="12"/>
  <c r="G50" i="12"/>
  <c r="G49" i="12"/>
  <c r="G48" i="12"/>
  <c r="I47" i="12"/>
  <c r="F9" i="12"/>
  <c r="C6" i="12"/>
  <c r="F7" i="12"/>
  <c r="I48" i="12"/>
  <c r="F10" i="12"/>
  <c r="F4" i="12"/>
  <c r="F13" i="12"/>
  <c r="F12" i="12"/>
  <c r="C50" i="12" s="1"/>
  <c r="F11" i="12"/>
  <c r="C7" i="12"/>
  <c r="C10" i="12"/>
  <c r="B10" i="12"/>
  <c r="C4" i="12"/>
  <c r="C9" i="12"/>
  <c r="B9" i="12"/>
  <c r="B7" i="12"/>
  <c r="B13" i="12"/>
  <c r="D13" i="12" s="1"/>
  <c r="E13" i="12" s="1"/>
  <c r="C12" i="12"/>
  <c r="B12" i="12"/>
  <c r="C11" i="12"/>
  <c r="D49" i="12" s="1"/>
  <c r="I50" i="12"/>
  <c r="I49" i="12"/>
  <c r="G86" i="12" l="1"/>
  <c r="C51" i="25" s="1"/>
  <c r="G85" i="12"/>
  <c r="B51" i="25" s="1"/>
  <c r="D12" i="25"/>
  <c r="E12" i="25"/>
  <c r="E15" i="25" s="1"/>
  <c r="G87" i="12"/>
  <c r="D51" i="25" s="1"/>
  <c r="G93" i="12"/>
  <c r="J51" i="25" s="1"/>
  <c r="G92" i="12"/>
  <c r="I51" i="25" s="1"/>
  <c r="G91" i="12"/>
  <c r="H51" i="25" s="1"/>
  <c r="G90" i="12"/>
  <c r="G51" i="25" s="1"/>
  <c r="G89" i="12"/>
  <c r="F51" i="25" s="1"/>
  <c r="G88" i="12"/>
  <c r="E51" i="25" s="1"/>
  <c r="G95" i="12"/>
  <c r="L51" i="25" s="1"/>
  <c r="G96" i="12"/>
  <c r="M51" i="25" s="1"/>
  <c r="G94" i="12"/>
  <c r="K51" i="25" s="1"/>
  <c r="L12" i="25"/>
  <c r="L15" i="25" s="1"/>
  <c r="J12" i="25"/>
  <c r="J15" i="25" s="1"/>
  <c r="I12" i="25"/>
  <c r="I15" i="25" s="1"/>
  <c r="K12" i="25"/>
  <c r="K15" i="25" s="1"/>
  <c r="H12" i="25"/>
  <c r="H15" i="25" s="1"/>
  <c r="G12" i="25"/>
  <c r="G15" i="25" s="1"/>
  <c r="F12" i="25"/>
  <c r="F15" i="25" s="1"/>
  <c r="C12" i="25"/>
  <c r="C51" i="12"/>
  <c r="G13" i="12"/>
  <c r="I56" i="12"/>
  <c r="F18" i="12"/>
  <c r="C18" i="12"/>
  <c r="B18" i="12"/>
  <c r="D10" i="12"/>
  <c r="E10" i="12" s="1"/>
  <c r="D7" i="12"/>
  <c r="E7" i="12" s="1"/>
  <c r="D4" i="12"/>
  <c r="D12" i="12"/>
  <c r="E12" i="12" s="1"/>
  <c r="D9" i="12"/>
  <c r="E9" i="12" s="1"/>
  <c r="C49" i="12"/>
  <c r="E49" i="12" s="1"/>
  <c r="G11" i="12"/>
  <c r="C46" i="12"/>
  <c r="C48" i="12"/>
  <c r="G10" i="12"/>
  <c r="D11" i="12"/>
  <c r="E11" i="12" s="1"/>
  <c r="D51" i="12"/>
  <c r="C45" i="12"/>
  <c r="G7" i="12"/>
  <c r="C44" i="12"/>
  <c r="G6" i="12"/>
  <c r="C42" i="12"/>
  <c r="G4" i="12"/>
  <c r="C47" i="12"/>
  <c r="G9" i="12"/>
  <c r="G12" i="12"/>
  <c r="E3" i="12"/>
  <c r="D6" i="12"/>
  <c r="E6" i="12" s="1"/>
  <c r="D45" i="12"/>
  <c r="D47" i="12"/>
  <c r="D41" i="12"/>
  <c r="D42" i="12"/>
  <c r="D50" i="12"/>
  <c r="D48" i="12"/>
  <c r="D44" i="12"/>
  <c r="D18" i="12" l="1"/>
  <c r="F91" i="12"/>
  <c r="H14" i="25" s="1"/>
  <c r="F96" i="12"/>
  <c r="M14" i="25" s="1"/>
  <c r="F89" i="12"/>
  <c r="F14" i="25" s="1"/>
  <c r="F95" i="12"/>
  <c r="L14" i="25" s="1"/>
  <c r="F90" i="12"/>
  <c r="G14" i="25" s="1"/>
  <c r="E86" i="12"/>
  <c r="C13" i="25" s="1"/>
  <c r="E85" i="12"/>
  <c r="E87" i="12"/>
  <c r="D13" i="25" s="1"/>
  <c r="E94" i="12"/>
  <c r="K13" i="25" s="1"/>
  <c r="E93" i="12"/>
  <c r="J13" i="25" s="1"/>
  <c r="E89" i="12"/>
  <c r="F13" i="25" s="1"/>
  <c r="E92" i="12"/>
  <c r="I13" i="25" s="1"/>
  <c r="E90" i="12"/>
  <c r="G13" i="25" s="1"/>
  <c r="E88" i="12"/>
  <c r="E13" i="25" s="1"/>
  <c r="E96" i="12"/>
  <c r="M13" i="25" s="1"/>
  <c r="E95" i="12"/>
  <c r="L13" i="25" s="1"/>
  <c r="E91" i="12"/>
  <c r="H13" i="25" s="1"/>
  <c r="B12" i="25"/>
  <c r="C97" i="12"/>
  <c r="G18" i="12"/>
  <c r="C56" i="12"/>
  <c r="D56" i="12"/>
  <c r="E4" i="12"/>
  <c r="F87" i="12" s="1"/>
  <c r="D14" i="25" s="1"/>
  <c r="D15" i="25" s="1"/>
  <c r="H49" i="12"/>
  <c r="E47" i="12"/>
  <c r="E51" i="12"/>
  <c r="E48" i="12"/>
  <c r="E44" i="12"/>
  <c r="E42" i="12"/>
  <c r="E41" i="12"/>
  <c r="E46" i="12"/>
  <c r="E45" i="12"/>
  <c r="E50" i="12"/>
  <c r="F88" i="12" l="1"/>
  <c r="E14" i="25" s="1"/>
  <c r="B13" i="25"/>
  <c r="E97" i="12"/>
  <c r="F86" i="12"/>
  <c r="C14" i="25" s="1"/>
  <c r="C15" i="25" s="1"/>
  <c r="F94" i="12"/>
  <c r="K14" i="25" s="1"/>
  <c r="E18" i="12"/>
  <c r="F85" i="12"/>
  <c r="F93" i="12"/>
  <c r="J14" i="25" s="1"/>
  <c r="F92" i="12"/>
  <c r="I14" i="25" s="1"/>
  <c r="E56" i="12"/>
  <c r="H46" i="12"/>
  <c r="H41" i="12"/>
  <c r="H48" i="12"/>
  <c r="H45" i="12"/>
  <c r="H47" i="12"/>
  <c r="H44" i="12"/>
  <c r="H42" i="12"/>
  <c r="H50" i="12"/>
  <c r="H51" i="12"/>
  <c r="B14" i="25" l="1"/>
  <c r="F97" i="12"/>
  <c r="N14" i="25" l="1"/>
  <c r="B15" i="25"/>
  <c r="N15" i="25" s="1"/>
  <c r="I22" i="25"/>
  <c r="I48" i="25" s="1"/>
  <c r="I50" i="25" s="1"/>
  <c r="L22" i="25"/>
  <c r="L48" i="25" s="1"/>
  <c r="L50" i="25" s="1"/>
  <c r="D22" i="25"/>
  <c r="D48" i="25" s="1"/>
  <c r="D50" i="25" s="1"/>
  <c r="J22" i="25"/>
  <c r="J48" i="25" s="1"/>
  <c r="J50" i="25" s="1"/>
  <c r="K22" i="25"/>
  <c r="K48" i="25" s="1"/>
  <c r="K50" i="25" s="1"/>
  <c r="H22" i="25"/>
  <c r="H48" i="25" s="1"/>
  <c r="H50" i="25" s="1"/>
  <c r="C22" i="25"/>
  <c r="C48" i="25" s="1"/>
  <c r="C50" i="25" s="1"/>
  <c r="G22" i="25"/>
  <c r="G48" i="25" s="1"/>
  <c r="G50" i="25" s="1"/>
  <c r="E22" i="25"/>
  <c r="E48" i="25" s="1"/>
  <c r="E50" i="25" s="1"/>
  <c r="F22" i="25"/>
  <c r="F48" i="25" s="1"/>
  <c r="F50" i="25" s="1"/>
  <c r="N22" i="25" l="1"/>
  <c r="N48" i="25" s="1"/>
  <c r="B22" i="25"/>
  <c r="B48" i="25" s="1"/>
  <c r="B50" i="25" s="1"/>
  <c r="M22" i="25"/>
  <c r="M48" i="25" s="1"/>
  <c r="M50" i="25" s="1"/>
  <c r="C52" i="25" l="1"/>
  <c r="C53" i="25" s="1"/>
  <c r="N50" i="25"/>
  <c r="D52" i="25" l="1"/>
  <c r="D53" i="25" s="1"/>
  <c r="E52" i="25" l="1"/>
  <c r="E53" i="25" s="1"/>
  <c r="F52" i="25" l="1"/>
  <c r="F53" i="25" s="1"/>
  <c r="G52" i="25" l="1"/>
  <c r="G53" i="25" s="1"/>
  <c r="H52" i="25" l="1"/>
  <c r="H53" i="25" s="1"/>
  <c r="I52" i="25" l="1"/>
  <c r="I53" i="25" s="1"/>
  <c r="J52" i="25" l="1"/>
  <c r="J53" i="25" s="1"/>
  <c r="K52" i="25" l="1"/>
  <c r="K53" i="25" s="1"/>
  <c r="L52" i="25" l="1"/>
  <c r="L53" i="25" s="1"/>
  <c r="M52" i="25" l="1"/>
  <c r="M53" i="25" s="1"/>
</calcChain>
</file>

<file path=xl/sharedStrings.xml><?xml version="1.0" encoding="utf-8"?>
<sst xmlns="http://schemas.openxmlformats.org/spreadsheetml/2006/main" count="520" uniqueCount="308">
  <si>
    <t xml:space="preserve">Account </t>
  </si>
  <si>
    <t>2026 Budget</t>
  </si>
  <si>
    <t>2026 Notes</t>
  </si>
  <si>
    <t>4000 Grants</t>
  </si>
  <si>
    <t>4015 Individual Donors</t>
  </si>
  <si>
    <t>4025 Earned Income</t>
  </si>
  <si>
    <t>4030 Miscellaneous</t>
  </si>
  <si>
    <t>4040 Interest</t>
  </si>
  <si>
    <t>Total Income</t>
  </si>
  <si>
    <t>Expenses</t>
  </si>
  <si>
    <t>6000 Professional Services</t>
  </si>
  <si>
    <t>6001 Employees</t>
  </si>
  <si>
    <t>Salary</t>
  </si>
  <si>
    <t>Benefits</t>
  </si>
  <si>
    <t>Taxes</t>
  </si>
  <si>
    <t>6001 Total</t>
  </si>
  <si>
    <t xml:space="preserve"> 6005 Consulting</t>
  </si>
  <si>
    <t xml:space="preserve"> 6010 IT Managed Services</t>
  </si>
  <si>
    <t>6011 Human Resources</t>
  </si>
  <si>
    <t>6020 Accounting Services</t>
  </si>
  <si>
    <t xml:space="preserve"> 6025 Outside Services</t>
  </si>
  <si>
    <t>Total Consulting &amp; Services</t>
  </si>
  <si>
    <t>Total Professional Services</t>
  </si>
  <si>
    <t>6200 Operation &amp; Admin</t>
  </si>
  <si>
    <t xml:space="preserve"> 6201 Office Rent</t>
  </si>
  <si>
    <t xml:space="preserve"> 6203 Internet</t>
  </si>
  <si>
    <t>6204 Telephone</t>
  </si>
  <si>
    <t xml:space="preserve"> 6207 Office Supplies</t>
  </si>
  <si>
    <t>6208 Web Based Services</t>
  </si>
  <si>
    <t xml:space="preserve"> 6209 Advertising &amp; Promotional Materials</t>
  </si>
  <si>
    <t xml:space="preserve"> 6211 Meeting Expenses</t>
  </si>
  <si>
    <t>6212 Travel Fees</t>
  </si>
  <si>
    <t xml:space="preserve"> 6214 Insurance</t>
  </si>
  <si>
    <t xml:space="preserve">  6216 Postage &amp; Mail</t>
  </si>
  <si>
    <t xml:space="preserve"> 6217 Mileage</t>
  </si>
  <si>
    <t xml:space="preserve"> 6219 Professional Development</t>
  </si>
  <si>
    <t>6221 Cultivation and Stewardship</t>
  </si>
  <si>
    <t xml:space="preserve"> 6222 Public Relations &amp; Outreach</t>
  </si>
  <si>
    <t xml:space="preserve"> 6223 Minor Equipment &amp; Fixtures</t>
  </si>
  <si>
    <t>6226 MEI</t>
  </si>
  <si>
    <t>Total Operation &amp; Admin</t>
  </si>
  <si>
    <t>6300 Programs</t>
  </si>
  <si>
    <t xml:space="preserve"> 6301 Coaching Expenses</t>
  </si>
  <si>
    <t xml:space="preserve"> 6302 Class Expenses</t>
  </si>
  <si>
    <t xml:space="preserve"> 6303 Client Incentives</t>
  </si>
  <si>
    <t xml:space="preserve"> 6306 Credit Wellness Events</t>
  </si>
  <si>
    <t xml:space="preserve"> 6308 Credit Pulls</t>
  </si>
  <si>
    <t>Total Programs</t>
  </si>
  <si>
    <t>Total Expenses</t>
  </si>
  <si>
    <t>TOTAL NET INCOME</t>
  </si>
  <si>
    <t>Employee Count (FT &amp; PT)</t>
  </si>
  <si>
    <t>Projected Reserve Balance:</t>
  </si>
  <si>
    <t>Difference to Raise:</t>
  </si>
  <si>
    <t>Below 6-month reserve amount:</t>
  </si>
  <si>
    <t>Below 3-month reserve line:</t>
  </si>
  <si>
    <t>2026 Income Estimates</t>
  </si>
  <si>
    <t>Organization</t>
  </si>
  <si>
    <t>Type</t>
  </si>
  <si>
    <t>Notes</t>
  </si>
  <si>
    <t>Amount</t>
  </si>
  <si>
    <t>Sort Order</t>
  </si>
  <si>
    <t>Month Anticipated</t>
  </si>
  <si>
    <t>Percent of Goal</t>
  </si>
  <si>
    <t>American Family Insurance</t>
  </si>
  <si>
    <t>Corporate Grant</t>
  </si>
  <si>
    <t>January</t>
  </si>
  <si>
    <t>First Bank</t>
  </si>
  <si>
    <t>Hough Foundation</t>
  </si>
  <si>
    <t>Foundation Grant</t>
  </si>
  <si>
    <t>Income by Type</t>
  </si>
  <si>
    <t>Grants Timeline</t>
  </si>
  <si>
    <t>SBEC (payment 1)</t>
  </si>
  <si>
    <t>Earned Income</t>
  </si>
  <si>
    <t>St. Louis Community Foundation</t>
  </si>
  <si>
    <t>Grants</t>
  </si>
  <si>
    <t>NISA</t>
  </si>
  <si>
    <t>February</t>
  </si>
  <si>
    <t>Individual Donors</t>
  </si>
  <si>
    <t>Tracy Family Foundation</t>
  </si>
  <si>
    <t>Commerce Bank</t>
  </si>
  <si>
    <t>March</t>
  </si>
  <si>
    <t>Miscellaneous</t>
  </si>
  <si>
    <t>Dana Brown Charitable Trust</t>
  </si>
  <si>
    <t>Interest</t>
  </si>
  <si>
    <t>April</t>
  </si>
  <si>
    <t>Edward Jones</t>
  </si>
  <si>
    <t>May</t>
  </si>
  <si>
    <t>Great Southern Bank</t>
  </si>
  <si>
    <t>TOTAL</t>
  </si>
  <si>
    <t>June</t>
  </si>
  <si>
    <t>Moneta</t>
  </si>
  <si>
    <t>July</t>
  </si>
  <si>
    <t>PNC</t>
  </si>
  <si>
    <t>August</t>
  </si>
  <si>
    <t>SBEC (payment 2)</t>
  </si>
  <si>
    <t>September</t>
  </si>
  <si>
    <t>Stifel</t>
  </si>
  <si>
    <t>October</t>
  </si>
  <si>
    <t>UNKNOWN - Client Celebration</t>
  </si>
  <si>
    <t>Sponsorship</t>
  </si>
  <si>
    <t>November</t>
  </si>
  <si>
    <t>Bill Seidhoff</t>
  </si>
  <si>
    <t>Individual Donor</t>
  </si>
  <si>
    <t>December</t>
  </si>
  <si>
    <t>US Bank</t>
  </si>
  <si>
    <t>multi-year grant, 2nd year payment per email</t>
  </si>
  <si>
    <t>client celebration</t>
  </si>
  <si>
    <t>Light a Single Candle</t>
  </si>
  <si>
    <t>Equifax</t>
  </si>
  <si>
    <t>Wells Fargo</t>
  </si>
  <si>
    <t>Parkside Financial</t>
  </si>
  <si>
    <t>Carrollton Bank</t>
  </si>
  <si>
    <t>Enterprise Holdings Foundation</t>
  </si>
  <si>
    <t>Total Grants</t>
  </si>
  <si>
    <t>Corporate Grants:</t>
  </si>
  <si>
    <t>Total Above</t>
  </si>
  <si>
    <t>Foundation Grants:</t>
  </si>
  <si>
    <t>2026 Prospect List</t>
  </si>
  <si>
    <t>The Trio Foundation</t>
  </si>
  <si>
    <t>Grant</t>
  </si>
  <si>
    <t>Southern Bank</t>
  </si>
  <si>
    <t>Benjamin F. Edwards</t>
  </si>
  <si>
    <t>First Mid Bank &amp; Trust</t>
  </si>
  <si>
    <t>Berges Family Foundation</t>
  </si>
  <si>
    <t>BJC Healthcare</t>
  </si>
  <si>
    <t>YELLOW TOTAL:</t>
  </si>
  <si>
    <t>Alison Kindle Hogan Fund</t>
  </si>
  <si>
    <t>Mildred, Herbert, and Julian Simon Foundation</t>
  </si>
  <si>
    <t>William S. Anheuser Charitable Fund</t>
  </si>
  <si>
    <t>Alltru Credit Union</t>
  </si>
  <si>
    <t>American Heart Association</t>
  </si>
  <si>
    <t>ORANGE TOTAL:</t>
  </si>
  <si>
    <t>Yellow - In communication, but need additional connection</t>
  </si>
  <si>
    <t>Orange - No existing connection, organizational fit</t>
  </si>
  <si>
    <t>2026 Benefits &amp; Taxes (annual)</t>
  </si>
  <si>
    <t>Medicare 1.45%</t>
  </si>
  <si>
    <t>Social Security 6.2%</t>
  </si>
  <si>
    <t>Total Annual Taxes</t>
  </si>
  <si>
    <t>Per Payroll Taxes</t>
  </si>
  <si>
    <t>Retirement Max Contribution</t>
  </si>
  <si>
    <t>Retirement Monthly Amount</t>
  </si>
  <si>
    <t>Chief Program Officer - Greg Laposa</t>
  </si>
  <si>
    <t>Director of Coaching - Robert Nelson</t>
  </si>
  <si>
    <t>Financial Coach - Pablo Girardo</t>
  </si>
  <si>
    <t>Senior Financial Educator - Heather Schindewolf</t>
  </si>
  <si>
    <t>Advancement Coordinator - Julianna Nikodym</t>
  </si>
  <si>
    <t>Intern</t>
  </si>
  <si>
    <t>Business Development &amp; Partnership Manager</t>
  </si>
  <si>
    <t>2026 Insurance Premiums</t>
  </si>
  <si>
    <t>Monthly Health</t>
  </si>
  <si>
    <t>Monthly Dental</t>
  </si>
  <si>
    <t>Monthly Vision</t>
  </si>
  <si>
    <t>Monthly Health for Family</t>
  </si>
  <si>
    <t>Monthly Dental for Dependents</t>
  </si>
  <si>
    <t>Monthly Vision for Dependents</t>
  </si>
  <si>
    <t>Short-Term Dis</t>
  </si>
  <si>
    <t>Long-Term Dis</t>
  </si>
  <si>
    <t>Life Insurance</t>
  </si>
  <si>
    <t>Combo STD, LTD, Life Placeholder</t>
  </si>
  <si>
    <t>Monthly Total</t>
  </si>
  <si>
    <t>ANNUAL TOTALS</t>
  </si>
  <si>
    <t>Chief Operating Officer - Heather Jaconis</t>
  </si>
  <si>
    <t>Chief Advancement Officer - Nikki Whetsell</t>
  </si>
  <si>
    <t xml:space="preserve">2026 Compensation </t>
  </si>
  <si>
    <t>Annual Salary</t>
  </si>
  <si>
    <t xml:space="preserve">Annual Benefits </t>
  </si>
  <si>
    <t>Annual Taxes</t>
  </si>
  <si>
    <t>Total</t>
  </si>
  <si>
    <t>Available Hours</t>
  </si>
  <si>
    <t>Hourly (salary based)</t>
  </si>
  <si>
    <t>Hourly (with benefits and taxes)</t>
  </si>
  <si>
    <t>Per Payroll Salary</t>
  </si>
  <si>
    <t>Total for all months:</t>
  </si>
  <si>
    <t>Annual Compensation</t>
  </si>
  <si>
    <t>Name</t>
  </si>
  <si>
    <t>Title</t>
  </si>
  <si>
    <t>Kathy Siddens</t>
  </si>
  <si>
    <t>Carol Harris</t>
  </si>
  <si>
    <t>Greg Laposa</t>
  </si>
  <si>
    <t>Chief Program Officer</t>
  </si>
  <si>
    <t>Robert Nelson</t>
  </si>
  <si>
    <t>Director of Coaching</t>
  </si>
  <si>
    <t>Heather Jaconis</t>
  </si>
  <si>
    <t>Chief Operating Officer</t>
  </si>
  <si>
    <t>Nikki Whetsell</t>
  </si>
  <si>
    <t>Chief Advancement Officer</t>
  </si>
  <si>
    <t>Sasha Moore</t>
  </si>
  <si>
    <t>Lead Financial Coach</t>
  </si>
  <si>
    <t>Ashlee Morgan</t>
  </si>
  <si>
    <t>Veronica Guerrero</t>
  </si>
  <si>
    <t>Financial Coach</t>
  </si>
  <si>
    <t>Heather Schindewolf</t>
  </si>
  <si>
    <t>Senior Financial Educator</t>
  </si>
  <si>
    <t>Julianna Nikodym</t>
  </si>
  <si>
    <t>Advancement Coordinator</t>
  </si>
  <si>
    <t>Ben Feimer</t>
  </si>
  <si>
    <t>available hours for 2025 is 1952</t>
  </si>
  <si>
    <t>Monthly Amounts:</t>
  </si>
  <si>
    <t>Salaries:</t>
  </si>
  <si>
    <t>Benefits:</t>
  </si>
  <si>
    <t>Retirement:</t>
  </si>
  <si>
    <t>Taxes:</t>
  </si>
  <si>
    <t>FTE:</t>
  </si>
  <si>
    <t>Jan</t>
  </si>
  <si>
    <t>Feb</t>
  </si>
  <si>
    <t>Mar</t>
  </si>
  <si>
    <t>Note: Ben moves from contract to FTE</t>
  </si>
  <si>
    <t>Apr</t>
  </si>
  <si>
    <t>Note: 3 layoffs</t>
  </si>
  <si>
    <t>Jun</t>
  </si>
  <si>
    <t>Note: end of PT contract</t>
  </si>
  <si>
    <t>Jul</t>
  </si>
  <si>
    <t>Aug</t>
  </si>
  <si>
    <t>Sept</t>
  </si>
  <si>
    <t>Oct</t>
  </si>
  <si>
    <t>Nov</t>
  </si>
  <si>
    <t>Dec</t>
  </si>
  <si>
    <t>TOTAL:</t>
  </si>
  <si>
    <t>Vendor</t>
  </si>
  <si>
    <t>Service</t>
  </si>
  <si>
    <t>Billed Monthly</t>
  </si>
  <si>
    <t>Billed Annual</t>
  </si>
  <si>
    <t>Annual Total</t>
  </si>
  <si>
    <t>Month Budgeted if Annual</t>
  </si>
  <si>
    <t>Approver</t>
  </si>
  <si>
    <t>GL Code</t>
  </si>
  <si>
    <t>Riechmann Consulting</t>
  </si>
  <si>
    <t>Kathy</t>
  </si>
  <si>
    <t>6005 Consulting</t>
  </si>
  <si>
    <t>Triple E Consulting (Frankie)</t>
  </si>
  <si>
    <t>Leadership Development</t>
  </si>
  <si>
    <t>Cornershop Creative</t>
  </si>
  <si>
    <t>website</t>
  </si>
  <si>
    <t>Nikki</t>
  </si>
  <si>
    <t>Tim Emerson/Payentry</t>
  </si>
  <si>
    <t>payroll services</t>
  </si>
  <si>
    <t>Heather J</t>
  </si>
  <si>
    <t>annual amount is one-time set up fee</t>
  </si>
  <si>
    <t>Human Interest</t>
  </si>
  <si>
    <t>403b management</t>
  </si>
  <si>
    <t>FSA fees</t>
  </si>
  <si>
    <t>DeWitt Insurance</t>
  </si>
  <si>
    <t>Workers Comp Insurance</t>
  </si>
  <si>
    <t>Amount is being quoted, placeholder included</t>
  </si>
  <si>
    <t>Accounting to the Rescue</t>
  </si>
  <si>
    <t>accounting service (Lisa)</t>
  </si>
  <si>
    <t>6020 Professional Services: Accounting</t>
  </si>
  <si>
    <t>Anders</t>
  </si>
  <si>
    <t>annual audit services</t>
  </si>
  <si>
    <t>Abstrakt</t>
  </si>
  <si>
    <t>Salesforce Support</t>
  </si>
  <si>
    <t>6025 Outside Services</t>
  </si>
  <si>
    <t>lowered to 15 hours/month</t>
  </si>
  <si>
    <t>Business Development</t>
  </si>
  <si>
    <t>contract for Jan/Feb</t>
  </si>
  <si>
    <t>Andrew</t>
  </si>
  <si>
    <t>photography</t>
  </si>
  <si>
    <t xml:space="preserve">client celebration photos (and any headshots needed) </t>
  </si>
  <si>
    <t>Zoom</t>
  </si>
  <si>
    <t>6208 Web-based Services</t>
  </si>
  <si>
    <t>$15.99/month/user</t>
  </si>
  <si>
    <t>Salesforce</t>
  </si>
  <si>
    <t>Intuit (QuickBooks)</t>
  </si>
  <si>
    <t>Accounting Software</t>
  </si>
  <si>
    <t>Adobe</t>
  </si>
  <si>
    <t>Sara</t>
  </si>
  <si>
    <t>Creative cloud</t>
  </si>
  <si>
    <t>Mogli</t>
  </si>
  <si>
    <t>text messaging service</t>
  </si>
  <si>
    <t>Calendly</t>
  </si>
  <si>
    <t>schedule appointments with clients</t>
  </si>
  <si>
    <t>$16/user/month</t>
  </si>
  <si>
    <t>RISE Articulate Global</t>
  </si>
  <si>
    <t>Volunteer training program</t>
  </si>
  <si>
    <t>Laser Credit (Laser Accuracy)</t>
  </si>
  <si>
    <t>credit pulls</t>
  </si>
  <si>
    <t>compared to monthly actuals</t>
  </si>
  <si>
    <t>JotForm</t>
  </si>
  <si>
    <t>form submissions</t>
  </si>
  <si>
    <t>billed annually at $294 for one user</t>
  </si>
  <si>
    <t>Mailchimp</t>
  </si>
  <si>
    <t>Email listservs</t>
  </si>
  <si>
    <t>Loomly</t>
  </si>
  <si>
    <t>social media posts</t>
  </si>
  <si>
    <t>Schedules social media posts</t>
  </si>
  <si>
    <t>Community Builders Network</t>
  </si>
  <si>
    <t>6222 Public Relations &amp; Outreach</t>
  </si>
  <si>
    <t>Membership</t>
  </si>
  <si>
    <t>Hispanic Chamber of Commerce</t>
  </si>
  <si>
    <t>membership</t>
  </si>
  <si>
    <t>Third Degree Glass Factory</t>
  </si>
  <si>
    <t>Client Celebration - Venue</t>
  </si>
  <si>
    <t>Client Celebration - Catering</t>
  </si>
  <si>
    <t>Client Celebration - Material Printing</t>
  </si>
  <si>
    <t>Idealist Branding &amp; Design</t>
  </si>
  <si>
    <t>Client Celebration - Material Design</t>
  </si>
  <si>
    <t>CEO - Kathy Siddens</t>
  </si>
  <si>
    <t>Chief of Staff - Carol Harris</t>
  </si>
  <si>
    <t>Director of Operations and Data - Sara Middendorf</t>
  </si>
  <si>
    <t>Senior Financial Coach - Sasha Moore</t>
  </si>
  <si>
    <t>Senior Financial Coach - Ashlee Morgan</t>
  </si>
  <si>
    <t>Senior Financial Coach - Veronica Guerrero</t>
  </si>
  <si>
    <t>Business Development &amp; Partnerships Manager</t>
  </si>
  <si>
    <t>CEO</t>
  </si>
  <si>
    <t>Chief of Staff</t>
  </si>
  <si>
    <t xml:space="preserve"> Sara Sigman</t>
  </si>
  <si>
    <t>Director of Operations and Data</t>
  </si>
  <si>
    <t>Pablo Girardo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</si>
</sst>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"/>
    <numFmt numFmtId="166" formatCode="&quot;$&quot;#,##0.00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1"/>
      <name val="Calibri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0"/>
      <color theme="0"/>
      <name val="Arial"/>
      <family val="2"/>
    </font>
    <font>
      <sz val="10"/>
      <color rgb="FFFF0000"/>
      <name val="Calibri"/>
      <family val="2"/>
    </font>
    <font>
      <sz val="10"/>
      <color rgb="FF00B050"/>
      <name val="Arial"/>
      <family val="2"/>
    </font>
    <font>
      <sz val="10"/>
      <color rgb="FFFF9900"/>
      <name val="Arial"/>
      <family val="2"/>
    </font>
    <font>
      <sz val="10"/>
      <color rgb="FF4BACC6"/>
      <name val="Arial"/>
      <family val="2"/>
    </font>
    <font>
      <sz val="10"/>
      <color rgb="FF3E88C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E88C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164" fontId="0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164" fontId="1" fillId="0" borderId="0"/>
    <xf numFmtId="9" fontId="13" fillId="0" borderId="0" applyFont="0" applyFill="0" applyBorder="0" applyAlignment="0" applyProtection="0"/>
  </cellStyleXfs>
  <cellXfs count="153">
    <xf numFmtId="164" fontId="0" fillId="0" borderId="0" xfId="0"/>
    <xf numFmtId="164" fontId="3" fillId="0" borderId="0" xfId="0" applyFont="1"/>
    <xf numFmtId="164" fontId="3" fillId="3" borderId="0" xfId="0" applyFont="1" applyFill="1"/>
    <xf numFmtId="164" fontId="3" fillId="0" borderId="1" xfId="0" applyFont="1" applyBorder="1"/>
    <xf numFmtId="4" fontId="3" fillId="0" borderId="0" xfId="0" applyNumberFormat="1" applyFont="1"/>
    <xf numFmtId="2" fontId="3" fillId="0" borderId="0" xfId="0" applyNumberFormat="1" applyFont="1"/>
    <xf numFmtId="164" fontId="5" fillId="0" borderId="0" xfId="0" applyFont="1"/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6" fillId="0" borderId="0" xfId="0" applyFont="1" applyAlignment="1">
      <alignment vertical="center"/>
    </xf>
    <xf numFmtId="4" fontId="3" fillId="0" borderId="1" xfId="0" applyNumberFormat="1" applyFont="1" applyBorder="1"/>
    <xf numFmtId="3" fontId="3" fillId="0" borderId="0" xfId="0" applyNumberFormat="1" applyFont="1"/>
    <xf numFmtId="2" fontId="3" fillId="0" borderId="1" xfId="0" applyNumberFormat="1" applyFont="1" applyBorder="1" applyAlignment="1">
      <alignment horizontal="center"/>
    </xf>
    <xf numFmtId="164" fontId="1" fillId="0" borderId="0" xfId="0" applyFont="1"/>
    <xf numFmtId="0" fontId="3" fillId="0" borderId="0" xfId="0" applyNumberFormat="1" applyFont="1"/>
    <xf numFmtId="164" fontId="3" fillId="0" borderId="11" xfId="0" applyFont="1" applyBorder="1"/>
    <xf numFmtId="165" fontId="1" fillId="0" borderId="0" xfId="0" applyNumberFormat="1" applyFont="1"/>
    <xf numFmtId="164" fontId="1" fillId="0" borderId="0" xfId="0" applyFont="1" applyAlignment="1">
      <alignment horizontal="center"/>
    </xf>
    <xf numFmtId="44" fontId="0" fillId="0" borderId="0" xfId="2" applyFont="1"/>
    <xf numFmtId="44" fontId="1" fillId="0" borderId="0" xfId="2" applyFont="1"/>
    <xf numFmtId="164" fontId="10" fillId="6" borderId="0" xfId="0" applyFont="1" applyFill="1" applyAlignment="1">
      <alignment wrapText="1"/>
    </xf>
    <xf numFmtId="164" fontId="10" fillId="6" borderId="0" xfId="0" applyFont="1" applyFill="1" applyAlignment="1">
      <alignment horizontal="center" wrapText="1"/>
    </xf>
    <xf numFmtId="44" fontId="3" fillId="0" borderId="0" xfId="2" applyFont="1"/>
    <xf numFmtId="164" fontId="4" fillId="6" borderId="1" xfId="0" applyFont="1" applyFill="1" applyBorder="1"/>
    <xf numFmtId="1" fontId="4" fillId="6" borderId="1" xfId="0" applyNumberFormat="1" applyFont="1" applyFill="1" applyBorder="1" applyAlignment="1">
      <alignment horizontal="center"/>
    </xf>
    <xf numFmtId="164" fontId="3" fillId="5" borderId="1" xfId="0" applyFont="1" applyFill="1" applyBorder="1"/>
    <xf numFmtId="4" fontId="3" fillId="5" borderId="1" xfId="0" applyNumberFormat="1" applyFont="1" applyFill="1" applyBorder="1" applyAlignment="1">
      <alignment horizontal="center"/>
    </xf>
    <xf numFmtId="4" fontId="9" fillId="5" borderId="1" xfId="0" applyNumberFormat="1" applyFont="1" applyFill="1" applyBorder="1" applyAlignment="1">
      <alignment horizontal="center"/>
    </xf>
    <xf numFmtId="164" fontId="4" fillId="6" borderId="1" xfId="0" applyFont="1" applyFill="1" applyBorder="1" applyAlignment="1">
      <alignment horizontal="center" wrapText="1"/>
    </xf>
    <xf numFmtId="3" fontId="3" fillId="5" borderId="1" xfId="0" applyNumberFormat="1" applyFont="1" applyFill="1" applyBorder="1" applyAlignment="1">
      <alignment horizontal="center"/>
    </xf>
    <xf numFmtId="164" fontId="4" fillId="6" borderId="1" xfId="0" applyFont="1" applyFill="1" applyBorder="1" applyAlignment="1">
      <alignment horizontal="center"/>
    </xf>
    <xf numFmtId="164" fontId="4" fillId="6" borderId="1" xfId="0" applyFont="1" applyFill="1" applyBorder="1" applyAlignment="1">
      <alignment wrapText="1"/>
    </xf>
    <xf numFmtId="44" fontId="3" fillId="0" borderId="0" xfId="2" applyFont="1" applyFill="1" applyBorder="1"/>
    <xf numFmtId="164" fontId="7" fillId="0" borderId="0" xfId="0" applyFont="1" applyAlignment="1">
      <alignment horizontal="center" vertical="center"/>
    </xf>
    <xf numFmtId="164" fontId="3" fillId="0" borderId="0" xfId="0" applyFont="1" applyAlignment="1">
      <alignment horizontal="right"/>
    </xf>
    <xf numFmtId="165" fontId="1" fillId="0" borderId="0" xfId="2" applyNumberFormat="1" applyFont="1"/>
    <xf numFmtId="164" fontId="8" fillId="0" borderId="0" xfId="0" applyFont="1"/>
    <xf numFmtId="3" fontId="10" fillId="6" borderId="4" xfId="0" applyNumberFormat="1" applyFont="1" applyFill="1" applyBorder="1" applyAlignment="1">
      <alignment horizontal="left" wrapText="1"/>
    </xf>
    <xf numFmtId="164" fontId="10" fillId="6" borderId="5" xfId="0" applyFont="1" applyFill="1" applyBorder="1" applyAlignment="1">
      <alignment horizontal="center" wrapText="1"/>
    </xf>
    <xf numFmtId="3" fontId="10" fillId="6" borderId="5" xfId="0" applyNumberFormat="1" applyFont="1" applyFill="1" applyBorder="1" applyAlignment="1">
      <alignment horizontal="center" wrapText="1"/>
    </xf>
    <xf numFmtId="3" fontId="10" fillId="6" borderId="6" xfId="0" applyNumberFormat="1" applyFont="1" applyFill="1" applyBorder="1" applyAlignment="1">
      <alignment horizontal="center" wrapText="1"/>
    </xf>
    <xf numFmtId="3" fontId="15" fillId="0" borderId="0" xfId="0" applyNumberFormat="1" applyFont="1" applyAlignment="1">
      <alignment horizontal="right" wrapText="1"/>
    </xf>
    <xf numFmtId="3" fontId="15" fillId="2" borderId="0" xfId="0" applyNumberFormat="1" applyFont="1" applyFill="1" applyAlignment="1">
      <alignment horizontal="right" wrapText="1"/>
    </xf>
    <xf numFmtId="3" fontId="1" fillId="0" borderId="7" xfId="0" applyNumberFormat="1" applyFont="1" applyBorder="1" applyAlignment="1">
      <alignment horizontal="left" wrapText="1"/>
    </xf>
    <xf numFmtId="3" fontId="1" fillId="0" borderId="2" xfId="0" applyNumberFormat="1" applyFont="1" applyBorder="1" applyAlignment="1">
      <alignment horizontal="center" wrapText="1"/>
    </xf>
    <xf numFmtId="3" fontId="1" fillId="5" borderId="2" xfId="0" applyNumberFormat="1" applyFont="1" applyFill="1" applyBorder="1" applyAlignment="1">
      <alignment horizontal="center" wrapText="1"/>
    </xf>
    <xf numFmtId="3" fontId="1" fillId="0" borderId="8" xfId="0" applyNumberFormat="1" applyFont="1" applyBorder="1" applyAlignment="1">
      <alignment horizontal="left" wrapText="1"/>
    </xf>
    <xf numFmtId="3" fontId="1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3" fontId="1" fillId="0" borderId="0" xfId="0" applyNumberFormat="1" applyFont="1" applyAlignment="1">
      <alignment horizontal="left" wrapText="1"/>
    </xf>
    <xf numFmtId="3" fontId="1" fillId="0" borderId="3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horizontal="center" wrapText="1"/>
    </xf>
    <xf numFmtId="3" fontId="1" fillId="0" borderId="8" xfId="0" applyNumberFormat="1" applyFont="1" applyBorder="1" applyAlignment="1">
      <alignment horizontal="left"/>
    </xf>
    <xf numFmtId="3" fontId="10" fillId="6" borderId="0" xfId="0" applyNumberFormat="1" applyFont="1" applyFill="1" applyAlignment="1">
      <alignment horizontal="center" wrapText="1"/>
    </xf>
    <xf numFmtId="3" fontId="10" fillId="6" borderId="9" xfId="0" applyNumberFormat="1" applyFont="1" applyFill="1" applyBorder="1" applyAlignment="1">
      <alignment horizontal="center" wrapText="1"/>
    </xf>
    <xf numFmtId="3" fontId="1" fillId="2" borderId="0" xfId="0" applyNumberFormat="1" applyFont="1" applyFill="1" applyAlignment="1">
      <alignment horizontal="right" wrapText="1"/>
    </xf>
    <xf numFmtId="3" fontId="1" fillId="0" borderId="0" xfId="0" applyNumberFormat="1" applyFont="1" applyAlignment="1">
      <alignment horizontal="center" wrapText="1"/>
    </xf>
    <xf numFmtId="3" fontId="10" fillId="6" borderId="3" xfId="0" applyNumberFormat="1" applyFont="1" applyFill="1" applyBorder="1" applyAlignment="1">
      <alignment horizontal="left" wrapText="1"/>
    </xf>
    <xf numFmtId="3" fontId="16" fillId="6" borderId="0" xfId="0" applyNumberFormat="1" applyFont="1" applyFill="1" applyAlignment="1">
      <alignment horizontal="center" wrapText="1"/>
    </xf>
    <xf numFmtId="3" fontId="16" fillId="6" borderId="9" xfId="0" applyNumberFormat="1" applyFont="1" applyFill="1" applyBorder="1" applyAlignment="1">
      <alignment horizontal="left" wrapText="1"/>
    </xf>
    <xf numFmtId="3" fontId="1" fillId="0" borderId="7" xfId="0" applyNumberFormat="1" applyFont="1" applyBorder="1" applyAlignment="1">
      <alignment horizontal="right" wrapText="1"/>
    </xf>
    <xf numFmtId="3" fontId="18" fillId="0" borderId="7" xfId="0" applyNumberFormat="1" applyFont="1" applyBorder="1" applyAlignment="1">
      <alignment horizontal="right" wrapText="1"/>
    </xf>
    <xf numFmtId="3" fontId="8" fillId="5" borderId="2" xfId="0" applyNumberFormat="1" applyFont="1" applyFill="1" applyBorder="1" applyAlignment="1">
      <alignment horizontal="center" wrapText="1"/>
    </xf>
    <xf numFmtId="3" fontId="14" fillId="0" borderId="8" xfId="0" applyNumberFormat="1" applyFont="1" applyBorder="1" applyAlignment="1">
      <alignment horizontal="left" wrapText="1"/>
    </xf>
    <xf numFmtId="3" fontId="18" fillId="0" borderId="12" xfId="0" applyNumberFormat="1" applyFont="1" applyBorder="1" applyAlignment="1">
      <alignment horizontal="right" wrapText="1"/>
    </xf>
    <xf numFmtId="3" fontId="8" fillId="0" borderId="13" xfId="0" applyNumberFormat="1" applyFont="1" applyBorder="1" applyAlignment="1">
      <alignment horizontal="center" wrapText="1"/>
    </xf>
    <xf numFmtId="3" fontId="8" fillId="5" borderId="13" xfId="0" applyNumberFormat="1" applyFont="1" applyFill="1" applyBorder="1" applyAlignment="1">
      <alignment horizontal="center" wrapText="1"/>
    </xf>
    <xf numFmtId="3" fontId="1" fillId="0" borderId="14" xfId="0" applyNumberFormat="1" applyFont="1" applyBorder="1" applyAlignment="1">
      <alignment horizontal="left" wrapText="1"/>
    </xf>
    <xf numFmtId="3" fontId="8" fillId="4" borderId="0" xfId="0" applyNumberFormat="1" applyFont="1" applyFill="1" applyAlignment="1">
      <alignment horizontal="right" wrapText="1"/>
    </xf>
    <xf numFmtId="3" fontId="14" fillId="0" borderId="8" xfId="0" applyNumberFormat="1" applyFont="1" applyBorder="1" applyAlignment="1">
      <alignment horizontal="left"/>
    </xf>
    <xf numFmtId="3" fontId="1" fillId="4" borderId="0" xfId="0" applyNumberFormat="1" applyFont="1" applyFill="1" applyAlignment="1">
      <alignment horizontal="right" wrapText="1"/>
    </xf>
    <xf numFmtId="3" fontId="12" fillId="0" borderId="8" xfId="0" applyNumberFormat="1" applyFont="1" applyBorder="1" applyAlignment="1">
      <alignment horizontal="left" wrapText="1"/>
    </xf>
    <xf numFmtId="0" fontId="1" fillId="0" borderId="8" xfId="1" applyNumberFormat="1" applyFont="1" applyFill="1" applyBorder="1" applyAlignment="1">
      <alignment horizontal="left" wrapText="1"/>
    </xf>
    <xf numFmtId="3" fontId="14" fillId="0" borderId="14" xfId="0" applyNumberFormat="1" applyFont="1" applyBorder="1" applyAlignment="1">
      <alignment horizontal="left" wrapText="1"/>
    </xf>
    <xf numFmtId="3" fontId="1" fillId="7" borderId="0" xfId="0" applyNumberFormat="1" applyFont="1" applyFill="1" applyAlignment="1">
      <alignment horizontal="right" wrapText="1"/>
    </xf>
    <xf numFmtId="3" fontId="1" fillId="6" borderId="8" xfId="0" applyNumberFormat="1" applyFont="1" applyFill="1" applyBorder="1" applyAlignment="1">
      <alignment horizontal="left" wrapText="1"/>
    </xf>
    <xf numFmtId="3" fontId="19" fillId="7" borderId="0" xfId="0" applyNumberFormat="1" applyFont="1" applyFill="1" applyAlignment="1">
      <alignment horizontal="center" wrapText="1"/>
    </xf>
    <xf numFmtId="3" fontId="1" fillId="7" borderId="9" xfId="0" applyNumberFormat="1" applyFont="1" applyFill="1" applyBorder="1" applyAlignment="1">
      <alignment horizontal="left" wrapText="1"/>
    </xf>
    <xf numFmtId="3" fontId="1" fillId="8" borderId="10" xfId="0" applyNumberFormat="1" applyFont="1" applyFill="1" applyBorder="1" applyAlignment="1">
      <alignment horizontal="right" wrapText="1"/>
    </xf>
    <xf numFmtId="3" fontId="10" fillId="6" borderId="2" xfId="0" applyNumberFormat="1" applyFont="1" applyFill="1" applyBorder="1" applyAlignment="1">
      <alignment horizontal="center" wrapText="1"/>
    </xf>
    <xf numFmtId="164" fontId="20" fillId="0" borderId="0" xfId="0" applyFont="1"/>
    <xf numFmtId="166" fontId="0" fillId="0" borderId="0" xfId="0" applyNumberFormat="1"/>
    <xf numFmtId="164" fontId="0" fillId="0" borderId="0" xfId="0" applyAlignment="1">
      <alignment horizontal="center"/>
    </xf>
    <xf numFmtId="166" fontId="8" fillId="0" borderId="0" xfId="0" applyNumberFormat="1" applyFont="1"/>
    <xf numFmtId="164" fontId="8" fillId="0" borderId="0" xfId="0" applyFont="1" applyAlignment="1">
      <alignment horizontal="center"/>
    </xf>
    <xf numFmtId="164" fontId="21" fillId="0" borderId="0" xfId="0" applyFont="1"/>
    <xf numFmtId="164" fontId="22" fillId="0" borderId="0" xfId="0" applyFont="1"/>
    <xf numFmtId="164" fontId="12" fillId="0" borderId="0" xfId="0" applyFont="1"/>
    <xf numFmtId="3" fontId="1" fillId="0" borderId="12" xfId="0" applyNumberFormat="1" applyFont="1" applyBorder="1" applyAlignment="1">
      <alignment horizontal="right" wrapText="1"/>
    </xf>
    <xf numFmtId="166" fontId="1" fillId="0" borderId="0" xfId="0" applyNumberFormat="1" applyFont="1"/>
    <xf numFmtId="164" fontId="23" fillId="0" borderId="0" xfId="0" applyFont="1"/>
    <xf numFmtId="9" fontId="3" fillId="0" borderId="0" xfId="4" applyFont="1"/>
    <xf numFmtId="166" fontId="1" fillId="0" borderId="0" xfId="2" applyNumberFormat="1" applyFont="1" applyFill="1"/>
    <xf numFmtId="164" fontId="1" fillId="0" borderId="0" xfId="0" applyFont="1" applyAlignment="1">
      <alignment wrapText="1"/>
    </xf>
    <xf numFmtId="165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164" fontId="10" fillId="0" borderId="0" xfId="0" applyFont="1" applyAlignment="1">
      <alignment horizontal="center" wrapText="1"/>
    </xf>
    <xf numFmtId="164" fontId="1" fillId="0" borderId="0" xfId="0" applyFont="1" applyAlignment="1">
      <alignment horizontal="right" wrapText="1"/>
    </xf>
    <xf numFmtId="165" fontId="8" fillId="0" borderId="0" xfId="2" applyNumberFormat="1" applyFont="1" applyAlignment="1">
      <alignment horizontal="center"/>
    </xf>
    <xf numFmtId="164" fontId="24" fillId="0" borderId="0" xfId="0" applyFont="1"/>
    <xf numFmtId="164" fontId="9" fillId="0" borderId="0" xfId="0" applyFont="1"/>
    <xf numFmtId="44" fontId="9" fillId="0" borderId="0" xfId="2" applyFont="1"/>
    <xf numFmtId="3" fontId="18" fillId="0" borderId="7" xfId="0" applyNumberFormat="1" applyFont="1" applyBorder="1" applyAlignment="1">
      <alignment horizontal="left" wrapText="1"/>
    </xf>
    <xf numFmtId="3" fontId="18" fillId="0" borderId="12" xfId="0" applyNumberFormat="1" applyFont="1" applyBorder="1" applyAlignment="1">
      <alignment horizontal="left" wrapText="1"/>
    </xf>
    <xf numFmtId="3" fontId="10" fillId="6" borderId="7" xfId="0" applyNumberFormat="1" applyFont="1" applyFill="1" applyBorder="1" applyAlignment="1">
      <alignment horizontal="left" wrapText="1"/>
    </xf>
    <xf numFmtId="3" fontId="19" fillId="7" borderId="3" xfId="0" applyNumberFormat="1" applyFont="1" applyFill="1" applyBorder="1" applyAlignment="1">
      <alignment horizontal="left" wrapText="1"/>
    </xf>
    <xf numFmtId="3" fontId="1" fillId="0" borderId="16" xfId="0" applyNumberFormat="1" applyFont="1" applyBorder="1" applyAlignment="1">
      <alignment horizontal="center" wrapText="1"/>
    </xf>
    <xf numFmtId="3" fontId="1" fillId="5" borderId="16" xfId="0" applyNumberFormat="1" applyFont="1" applyFill="1" applyBorder="1" applyAlignment="1">
      <alignment horizontal="center" wrapText="1"/>
    </xf>
    <xf numFmtId="3" fontId="8" fillId="5" borderId="0" xfId="0" applyNumberFormat="1" applyFont="1" applyFill="1" applyAlignment="1">
      <alignment horizontal="center" wrapText="1"/>
    </xf>
    <xf numFmtId="3" fontId="8" fillId="0" borderId="17" xfId="0" applyNumberFormat="1" applyFont="1" applyBorder="1" applyAlignment="1">
      <alignment horizontal="center" wrapText="1"/>
    </xf>
    <xf numFmtId="3" fontId="10" fillId="8" borderId="0" xfId="0" applyNumberFormat="1" applyFont="1" applyFill="1" applyAlignment="1">
      <alignment horizontal="left" wrapText="1"/>
    </xf>
    <xf numFmtId="3" fontId="10" fillId="8" borderId="0" xfId="0" applyNumberFormat="1" applyFont="1" applyFill="1" applyAlignment="1">
      <alignment horizontal="center" wrapText="1"/>
    </xf>
    <xf numFmtId="42" fontId="1" fillId="10" borderId="0" xfId="2" applyNumberFormat="1" applyFont="1" applyFill="1" applyBorder="1" applyAlignment="1">
      <alignment horizontal="center" wrapText="1"/>
    </xf>
    <xf numFmtId="42" fontId="1" fillId="0" borderId="0" xfId="2" applyNumberFormat="1" applyFont="1" applyBorder="1" applyAlignment="1">
      <alignment horizontal="center" wrapText="1"/>
    </xf>
    <xf numFmtId="42" fontId="1" fillId="11" borderId="0" xfId="2" applyNumberFormat="1" applyFont="1" applyFill="1" applyBorder="1" applyAlignment="1">
      <alignment horizontal="center" wrapText="1"/>
    </xf>
    <xf numFmtId="44" fontId="1" fillId="0" borderId="0" xfId="2" applyFont="1" applyBorder="1" applyAlignment="1">
      <alignment horizontal="center" wrapText="1"/>
    </xf>
    <xf numFmtId="3" fontId="1" fillId="10" borderId="0" xfId="0" applyNumberFormat="1" applyFont="1" applyFill="1" applyAlignment="1">
      <alignment horizontal="center" wrapText="1"/>
    </xf>
    <xf numFmtId="3" fontId="1" fillId="11" borderId="0" xfId="0" applyNumberFormat="1" applyFont="1" applyFill="1" applyAlignment="1">
      <alignment horizontal="center" wrapText="1"/>
    </xf>
    <xf numFmtId="44" fontId="3" fillId="0" borderId="0" xfId="0" applyNumberFormat="1" applyFont="1"/>
    <xf numFmtId="0" fontId="1" fillId="0" borderId="0" xfId="0" applyNumberFormat="1" applyFont="1"/>
    <xf numFmtId="0" fontId="10" fillId="6" borderId="0" xfId="0" applyNumberFormat="1" applyFont="1" applyFill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2" applyNumberFormat="1" applyFont="1"/>
    <xf numFmtId="44" fontId="1" fillId="0" borderId="0" xfId="2" applyFont="1" applyAlignment="1">
      <alignment horizontal="center" wrapText="1"/>
    </xf>
    <xf numFmtId="44" fontId="1" fillId="0" borderId="0" xfId="2" applyFont="1" applyAlignment="1">
      <alignment horizontal="center"/>
    </xf>
    <xf numFmtId="44" fontId="10" fillId="6" borderId="0" xfId="2" applyFont="1" applyFill="1" applyAlignment="1">
      <alignment horizontal="center" wrapText="1"/>
    </xf>
    <xf numFmtId="164" fontId="1" fillId="9" borderId="0" xfId="0" applyFont="1" applyFill="1"/>
    <xf numFmtId="165" fontId="1" fillId="9" borderId="0" xfId="0" applyNumberFormat="1" applyFont="1" applyFill="1"/>
    <xf numFmtId="165" fontId="1" fillId="12" borderId="0" xfId="0" applyNumberFormat="1" applyFont="1" applyFill="1"/>
    <xf numFmtId="164" fontId="1" fillId="12" borderId="0" xfId="0" applyFont="1" applyFill="1" applyAlignment="1">
      <alignment wrapText="1"/>
    </xf>
    <xf numFmtId="9" fontId="1" fillId="0" borderId="0" xfId="4" applyFont="1" applyAlignment="1">
      <alignment horizontal="center" wrapText="1"/>
    </xf>
    <xf numFmtId="44" fontId="8" fillId="0" borderId="0" xfId="2" applyFont="1"/>
    <xf numFmtId="44" fontId="8" fillId="0" borderId="0" xfId="2" applyFont="1" applyAlignment="1">
      <alignment horizontal="center" wrapText="1"/>
    </xf>
    <xf numFmtId="44" fontId="0" fillId="0" borderId="0" xfId="2" applyFont="1" applyFill="1"/>
    <xf numFmtId="44" fontId="1" fillId="0" borderId="0" xfId="2" applyFont="1" applyFill="1"/>
    <xf numFmtId="164" fontId="8" fillId="0" borderId="0" xfId="0" applyFont="1" applyAlignment="1">
      <alignment horizontal="right"/>
    </xf>
    <xf numFmtId="166" fontId="8" fillId="0" borderId="0" xfId="2" applyNumberFormat="1" applyFont="1"/>
    <xf numFmtId="42" fontId="12" fillId="0" borderId="0" xfId="2" applyNumberFormat="1" applyFont="1" applyBorder="1" applyAlignment="1">
      <alignment horizontal="center" wrapText="1"/>
    </xf>
    <xf numFmtId="44" fontId="3" fillId="0" borderId="0" xfId="2" applyFont="1" applyFill="1"/>
    <xf numFmtId="9" fontId="3" fillId="0" borderId="0" xfId="4" applyFont="1" applyFill="1"/>
    <xf numFmtId="3" fontId="1" fillId="0" borderId="3" xfId="0" applyNumberFormat="1" applyFont="1" applyBorder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3" fontId="1" fillId="0" borderId="9" xfId="0" applyNumberFormat="1" applyFont="1" applyBorder="1" applyAlignment="1">
      <alignment horizontal="center" wrapText="1"/>
    </xf>
    <xf numFmtId="3" fontId="8" fillId="0" borderId="12" xfId="0" applyNumberFormat="1" applyFont="1" applyBorder="1" applyAlignment="1">
      <alignment horizontal="left" wrapText="1"/>
    </xf>
    <xf numFmtId="3" fontId="8" fillId="0" borderId="13" xfId="0" applyNumberFormat="1" applyFont="1" applyBorder="1" applyAlignment="1">
      <alignment horizontal="left" wrapText="1"/>
    </xf>
    <xf numFmtId="3" fontId="8" fillId="0" borderId="14" xfId="0" applyNumberFormat="1" applyFont="1" applyBorder="1" applyAlignment="1">
      <alignment horizontal="left" wrapText="1"/>
    </xf>
    <xf numFmtId="3" fontId="8" fillId="0" borderId="15" xfId="0" applyNumberFormat="1" applyFont="1" applyBorder="1" applyAlignment="1">
      <alignment horizontal="left" wrapText="1"/>
    </xf>
    <xf numFmtId="3" fontId="17" fillId="0" borderId="12" xfId="0" applyNumberFormat="1" applyFont="1" applyBorder="1" applyAlignment="1">
      <alignment horizontal="left" wrapText="1"/>
    </xf>
    <xf numFmtId="3" fontId="17" fillId="0" borderId="13" xfId="0" applyNumberFormat="1" applyFont="1" applyBorder="1" applyAlignment="1">
      <alignment horizontal="left" wrapText="1"/>
    </xf>
    <xf numFmtId="3" fontId="17" fillId="0" borderId="14" xfId="0" applyNumberFormat="1" applyFont="1" applyBorder="1" applyAlignment="1">
      <alignment horizontal="left" wrapText="1"/>
    </xf>
    <xf numFmtId="164" fontId="7" fillId="0" borderId="0" xfId="0" applyFont="1" applyAlignment="1">
      <alignment horizontal="center" vertical="center"/>
    </xf>
    <xf numFmtId="165" fontId="1" fillId="9" borderId="0" xfId="0" applyNumberFormat="1" applyFont="1" applyFill="1" applyAlignment="1">
      <alignment horizontal="right"/>
    </xf>
    <xf numFmtId="164" fontId="1" fillId="12" borderId="0" xfId="0" applyFont="1" applyFill="1" applyAlignment="1">
      <alignment horizontal="right" wrapText="1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3E88C9"/>
      <color rgb="FFFFFFCC"/>
      <color rgb="FFFFCCFF"/>
      <color rgb="FFFF9900"/>
      <color rgb="FF7030A0"/>
      <color rgb="FF00159B"/>
      <color rgb="FFCCFFFF"/>
      <color rgb="FFFFDAA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BB56"/>
  <sheetViews>
    <sheetView tabSelected="1" topLeftCell="A17" zoomScaleNormal="100" zoomScalePageLayoutView="90" workbookViewId="0">
      <selection activeCell="A50" sqref="A50:XFD57"/>
    </sheetView>
  </sheetViews>
  <sheetFormatPr defaultColWidth="9.109375" defaultRowHeight="13.2" x14ac:dyDescent="0.25"/>
  <cols>
    <col min="1" max="1" width="31.109375" style="49" customWidth="1"/>
    <col min="2" max="2" width="12.33203125" style="56" bestFit="1" customWidth="1"/>
    <col min="3" max="3" width="11.44140625" style="56" bestFit="1" customWidth="1"/>
    <col min="4" max="5" width="11.6640625" style="56" bestFit="1" customWidth="1"/>
    <col min="6" max="6" width="11.44140625" style="56" bestFit="1" customWidth="1"/>
    <col min="7" max="7" width="13.33203125" style="56" bestFit="1" customWidth="1"/>
    <col min="8" max="13" width="12.44140625" style="56" bestFit="1" customWidth="1"/>
    <col min="14" max="14" width="16.88671875" style="56" customWidth="1"/>
    <col min="15" max="15" width="7.33203125" style="47" hidden="1" customWidth="1"/>
    <col min="16" max="16" width="26.6640625" style="47" customWidth="1"/>
    <col min="17" max="16384" width="9.109375" style="47"/>
  </cols>
  <sheetData>
    <row r="1" spans="1:54" s="42" customFormat="1" ht="12.6" customHeight="1" x14ac:dyDescent="0.25">
      <c r="A1" s="37" t="s">
        <v>0</v>
      </c>
      <c r="B1" s="38">
        <v>46023</v>
      </c>
      <c r="C1" s="38">
        <v>46054</v>
      </c>
      <c r="D1" s="38">
        <v>46082</v>
      </c>
      <c r="E1" s="38">
        <v>46113</v>
      </c>
      <c r="F1" s="38">
        <v>46143</v>
      </c>
      <c r="G1" s="38">
        <v>46174</v>
      </c>
      <c r="H1" s="38">
        <v>46204</v>
      </c>
      <c r="I1" s="38">
        <v>46235</v>
      </c>
      <c r="J1" s="38">
        <v>46266</v>
      </c>
      <c r="K1" s="38">
        <v>46296</v>
      </c>
      <c r="L1" s="38">
        <v>46327</v>
      </c>
      <c r="M1" s="38">
        <v>46357</v>
      </c>
      <c r="N1" s="39" t="s">
        <v>1</v>
      </c>
      <c r="O1" s="40" t="s">
        <v>2</v>
      </c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</row>
    <row r="2" spans="1:54" x14ac:dyDescent="0.25">
      <c r="A2" s="43" t="s">
        <v>3</v>
      </c>
      <c r="B2" s="44">
        <f>Income!M8</f>
        <v>185000</v>
      </c>
      <c r="C2" s="44">
        <f>Income!M9</f>
        <v>55000</v>
      </c>
      <c r="D2" s="44">
        <f>Income!M10</f>
        <v>97000</v>
      </c>
      <c r="E2" s="44">
        <f>Income!M11</f>
        <v>66000</v>
      </c>
      <c r="F2" s="44">
        <f>Income!M12</f>
        <v>0</v>
      </c>
      <c r="G2" s="44">
        <f>Income!M13</f>
        <v>200000</v>
      </c>
      <c r="H2" s="44">
        <f>Income!M14</f>
        <v>50000</v>
      </c>
      <c r="I2" s="44">
        <f>Income!M15</f>
        <v>0</v>
      </c>
      <c r="J2" s="44">
        <f>Income!M16</f>
        <v>375000</v>
      </c>
      <c r="K2" s="44">
        <f>Income!M17</f>
        <v>0</v>
      </c>
      <c r="L2" s="44">
        <f>Income!M18</f>
        <v>10000</v>
      </c>
      <c r="M2" s="44">
        <f>Income!M19</f>
        <v>43000</v>
      </c>
      <c r="N2" s="45">
        <f>SUM(B2:M2)</f>
        <v>1081000</v>
      </c>
      <c r="O2" s="46"/>
    </row>
    <row r="3" spans="1:54" x14ac:dyDescent="0.25">
      <c r="A3" s="43" t="s">
        <v>4</v>
      </c>
      <c r="B3" s="44">
        <v>0</v>
      </c>
      <c r="C3" s="44">
        <v>0</v>
      </c>
      <c r="D3" s="44">
        <f>10000</f>
        <v>10000</v>
      </c>
      <c r="E3" s="44">
        <v>0</v>
      </c>
      <c r="F3" s="44">
        <v>4000</v>
      </c>
      <c r="G3" s="44">
        <v>0</v>
      </c>
      <c r="H3" s="44">
        <v>0</v>
      </c>
      <c r="I3" s="44">
        <v>0</v>
      </c>
      <c r="J3" s="44">
        <v>0</v>
      </c>
      <c r="K3" s="44">
        <v>0</v>
      </c>
      <c r="L3" s="44">
        <v>0</v>
      </c>
      <c r="M3" s="44">
        <v>4000</v>
      </c>
      <c r="N3" s="45">
        <f>SUM(B3:M3)</f>
        <v>18000</v>
      </c>
      <c r="O3" s="49"/>
      <c r="P3" s="50"/>
    </row>
    <row r="4" spans="1:54" s="48" customFormat="1" x14ac:dyDescent="0.25">
      <c r="A4" s="43" t="s">
        <v>5</v>
      </c>
      <c r="B4" s="44">
        <v>2500</v>
      </c>
      <c r="C4" s="44">
        <v>0</v>
      </c>
      <c r="D4" s="44">
        <v>2500</v>
      </c>
      <c r="E4" s="44">
        <v>0</v>
      </c>
      <c r="F4" s="44">
        <v>0</v>
      </c>
      <c r="G4" s="44">
        <v>0</v>
      </c>
      <c r="H4" s="44">
        <v>0</v>
      </c>
      <c r="I4" s="44">
        <v>0</v>
      </c>
      <c r="J4" s="44">
        <v>0</v>
      </c>
      <c r="K4" s="44">
        <v>0</v>
      </c>
      <c r="L4" s="44">
        <v>0</v>
      </c>
      <c r="M4" s="44">
        <v>0</v>
      </c>
      <c r="N4" s="45">
        <f t="shared" ref="N4:N5" si="0">SUM(B4:M4)</f>
        <v>5000</v>
      </c>
      <c r="O4" s="46"/>
    </row>
    <row r="5" spans="1:54" s="48" customFormat="1" x14ac:dyDescent="0.25">
      <c r="A5" s="43" t="s">
        <v>6</v>
      </c>
      <c r="B5" s="44">
        <v>0</v>
      </c>
      <c r="C5" s="44">
        <v>0</v>
      </c>
      <c r="D5" s="44">
        <v>0</v>
      </c>
      <c r="E5" s="44">
        <v>0</v>
      </c>
      <c r="F5" s="44">
        <v>0</v>
      </c>
      <c r="G5" s="44">
        <v>0</v>
      </c>
      <c r="H5" s="44">
        <v>0</v>
      </c>
      <c r="I5" s="44">
        <v>0</v>
      </c>
      <c r="J5" s="44">
        <v>0</v>
      </c>
      <c r="K5" s="44">
        <v>0</v>
      </c>
      <c r="L5" s="44">
        <v>0</v>
      </c>
      <c r="M5" s="44">
        <v>0</v>
      </c>
      <c r="N5" s="45">
        <f t="shared" si="0"/>
        <v>0</v>
      </c>
      <c r="O5" s="46"/>
    </row>
    <row r="6" spans="1:54" s="48" customFormat="1" x14ac:dyDescent="0.25">
      <c r="A6" s="43" t="s">
        <v>7</v>
      </c>
      <c r="B6" s="44">
        <v>1500</v>
      </c>
      <c r="C6" s="44">
        <v>1500</v>
      </c>
      <c r="D6" s="44">
        <v>1500</v>
      </c>
      <c r="E6" s="44">
        <v>1500</v>
      </c>
      <c r="F6" s="44">
        <v>1500</v>
      </c>
      <c r="G6" s="44">
        <v>1500</v>
      </c>
      <c r="H6" s="44">
        <v>1500</v>
      </c>
      <c r="I6" s="44">
        <v>1500</v>
      </c>
      <c r="J6" s="44">
        <v>1500</v>
      </c>
      <c r="K6" s="44">
        <v>1500</v>
      </c>
      <c r="L6" s="44">
        <v>1500</v>
      </c>
      <c r="M6" s="44">
        <v>1500</v>
      </c>
      <c r="N6" s="45">
        <f>SUM(B6:M6)</f>
        <v>18000</v>
      </c>
      <c r="O6" s="52"/>
    </row>
    <row r="7" spans="1:54" s="55" customFormat="1" x14ac:dyDescent="0.25">
      <c r="A7" s="57" t="s">
        <v>8</v>
      </c>
      <c r="B7" s="53">
        <f t="shared" ref="B7:M7" si="1">SUM(B2:B6)</f>
        <v>189000</v>
      </c>
      <c r="C7" s="53">
        <f t="shared" si="1"/>
        <v>56500</v>
      </c>
      <c r="D7" s="53">
        <f t="shared" si="1"/>
        <v>111000</v>
      </c>
      <c r="E7" s="53">
        <f t="shared" si="1"/>
        <v>67500</v>
      </c>
      <c r="F7" s="53">
        <f t="shared" si="1"/>
        <v>5500</v>
      </c>
      <c r="G7" s="53">
        <f t="shared" si="1"/>
        <v>201500</v>
      </c>
      <c r="H7" s="53">
        <f t="shared" si="1"/>
        <v>51500</v>
      </c>
      <c r="I7" s="53">
        <f t="shared" si="1"/>
        <v>1500</v>
      </c>
      <c r="J7" s="53">
        <f t="shared" si="1"/>
        <v>376500</v>
      </c>
      <c r="K7" s="53">
        <f t="shared" si="1"/>
        <v>1500</v>
      </c>
      <c r="L7" s="53">
        <f t="shared" si="1"/>
        <v>11500</v>
      </c>
      <c r="M7" s="53">
        <f t="shared" si="1"/>
        <v>48500</v>
      </c>
      <c r="N7" s="53">
        <f>SUM(N2:N6)</f>
        <v>1122000</v>
      </c>
      <c r="O7" s="54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</row>
    <row r="8" spans="1:54" ht="10.5" customHeight="1" x14ac:dyDescent="0.25">
      <c r="A8" s="140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2"/>
    </row>
    <row r="9" spans="1:54" s="42" customFormat="1" x14ac:dyDescent="0.25">
      <c r="A9" s="57" t="s">
        <v>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</row>
    <row r="10" spans="1:54" s="48" customFormat="1" x14ac:dyDescent="0.25">
      <c r="A10" s="143" t="s">
        <v>10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5"/>
    </row>
    <row r="11" spans="1:54" s="48" customFormat="1" x14ac:dyDescent="0.25">
      <c r="A11" s="147" t="s">
        <v>11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9"/>
    </row>
    <row r="12" spans="1:54" s="48" customFormat="1" x14ac:dyDescent="0.25">
      <c r="A12" s="60" t="s">
        <v>12</v>
      </c>
      <c r="B12" s="44">
        <f>Staff!C85</f>
        <v>81084.819347319353</v>
      </c>
      <c r="C12" s="44">
        <f>Staff!C86</f>
        <v>81084.819347319353</v>
      </c>
      <c r="D12" s="44">
        <f>Staff!C87</f>
        <v>86539.364801864809</v>
      </c>
      <c r="E12" s="44">
        <f>Staff!C88</f>
        <v>104207.4847027972</v>
      </c>
      <c r="F12" s="44">
        <f>Staff!C89</f>
        <v>69471.656468531466</v>
      </c>
      <c r="G12" s="44">
        <f>Staff!C90</f>
        <v>68380.747377622378</v>
      </c>
      <c r="H12" s="44">
        <f>Staff!C91</f>
        <v>68380.747377622378</v>
      </c>
      <c r="I12" s="44">
        <f>Staff!C92</f>
        <v>68380.747377622378</v>
      </c>
      <c r="J12" s="44">
        <f>Staff!C93</f>
        <v>68380.747377622378</v>
      </c>
      <c r="K12" s="44">
        <f>Staff!C94</f>
        <v>102571.12106643357</v>
      </c>
      <c r="L12" s="44">
        <f>Staff!C95</f>
        <v>68380.747377622378</v>
      </c>
      <c r="M12" s="44">
        <f>Staff!C96</f>
        <v>68380.747377622378</v>
      </c>
      <c r="N12" s="45">
        <f t="shared" ref="N12:N17" si="2">SUM(B12:M12)</f>
        <v>935243.75000000023</v>
      </c>
      <c r="O12" s="46"/>
    </row>
    <row r="13" spans="1:54" s="48" customFormat="1" x14ac:dyDescent="0.25">
      <c r="A13" s="60" t="s">
        <v>13</v>
      </c>
      <c r="B13" s="44">
        <f>Staff!D85+Staff!E85</f>
        <v>13543.586988095238</v>
      </c>
      <c r="C13" s="44">
        <f>Staff!D86+Staff!E86</f>
        <v>13543.586988095238</v>
      </c>
      <c r="D13" s="44">
        <f>Staff!D87+Staff!E87</f>
        <v>14302.784416666669</v>
      </c>
      <c r="E13" s="44">
        <f>Staff!D88+Staff!E88</f>
        <v>12227.609797619049</v>
      </c>
      <c r="F13" s="44">
        <f>Staff!D89+Staff!E89</f>
        <v>12227.609797619049</v>
      </c>
      <c r="G13" s="44">
        <f>Staff!D88+Staff!E90</f>
        <v>12227.609797619049</v>
      </c>
      <c r="H13" s="44">
        <f>Staff!D91+Staff!E91</f>
        <v>12227.609797619049</v>
      </c>
      <c r="I13" s="44">
        <f>Staff!D92+Staff!E92</f>
        <v>12227.609797619049</v>
      </c>
      <c r="J13" s="44">
        <f>Staff!D93+Staff!E93</f>
        <v>12227.609797619049</v>
      </c>
      <c r="K13" s="44">
        <f>Staff!D94+Staff!E94</f>
        <v>12227.609797619049</v>
      </c>
      <c r="L13" s="44">
        <f>Staff!D95+Staff!E95</f>
        <v>12227.609797619049</v>
      </c>
      <c r="M13" s="44">
        <f>Staff!D96+Staff!E96</f>
        <v>12227.609797619049</v>
      </c>
      <c r="N13" s="45">
        <f t="shared" si="2"/>
        <v>151438.44657142859</v>
      </c>
      <c r="O13" s="46"/>
    </row>
    <row r="14" spans="1:54" s="48" customFormat="1" x14ac:dyDescent="0.25">
      <c r="A14" s="60" t="s">
        <v>14</v>
      </c>
      <c r="B14" s="44">
        <f>Staff!F85</f>
        <v>7508.6683675699287</v>
      </c>
      <c r="C14" s="44">
        <f>Staff!F86</f>
        <v>7508.6683675699287</v>
      </c>
      <c r="D14" s="44">
        <f>Staff!F87</f>
        <v>7967.6683675699287</v>
      </c>
      <c r="E14" s="44">
        <f>Staff!F88</f>
        <v>8034.4634888548944</v>
      </c>
      <c r="F14" s="44">
        <f>Staff!F89</f>
        <v>5356.3089925699296</v>
      </c>
      <c r="G14" s="44">
        <f>Staff!F90</f>
        <v>5356.3089925699296</v>
      </c>
      <c r="H14" s="44">
        <f>Staff!F91</f>
        <v>5356.3089925699296</v>
      </c>
      <c r="I14" s="44">
        <f>Staff!F92</f>
        <v>5356.3089925699296</v>
      </c>
      <c r="J14" s="44">
        <f>Staff!F93</f>
        <v>5356.3089925699296</v>
      </c>
      <c r="K14" s="44">
        <f>Staff!F94</f>
        <v>8034.4634888548944</v>
      </c>
      <c r="L14" s="44">
        <f>Staff!F95</f>
        <v>5356.3089925699296</v>
      </c>
      <c r="M14" s="44">
        <f>Staff!F96</f>
        <v>5356.3089925699296</v>
      </c>
      <c r="N14" s="45">
        <f t="shared" si="2"/>
        <v>76548.095028409094</v>
      </c>
      <c r="O14" s="46"/>
    </row>
    <row r="15" spans="1:54" s="48" customFormat="1" x14ac:dyDescent="0.25">
      <c r="A15" s="61" t="s">
        <v>15</v>
      </c>
      <c r="B15" s="51">
        <f t="shared" ref="B15:M15" si="3">SUM(B12:B14)</f>
        <v>102137.07470298452</v>
      </c>
      <c r="C15" s="51">
        <f t="shared" si="3"/>
        <v>102137.07470298452</v>
      </c>
      <c r="D15" s="51">
        <f t="shared" si="3"/>
        <v>108809.8175861014</v>
      </c>
      <c r="E15" s="51">
        <f t="shared" si="3"/>
        <v>124469.55798927114</v>
      </c>
      <c r="F15" s="51">
        <f t="shared" si="3"/>
        <v>87055.575258720448</v>
      </c>
      <c r="G15" s="51">
        <f t="shared" si="3"/>
        <v>85964.66616781136</v>
      </c>
      <c r="H15" s="51">
        <f t="shared" si="3"/>
        <v>85964.66616781136</v>
      </c>
      <c r="I15" s="51">
        <f t="shared" si="3"/>
        <v>85964.66616781136</v>
      </c>
      <c r="J15" s="51">
        <f t="shared" si="3"/>
        <v>85964.66616781136</v>
      </c>
      <c r="K15" s="51">
        <f t="shared" si="3"/>
        <v>122833.19435290751</v>
      </c>
      <c r="L15" s="51">
        <f t="shared" si="3"/>
        <v>85964.66616781136</v>
      </c>
      <c r="M15" s="51">
        <f t="shared" si="3"/>
        <v>85964.66616781136</v>
      </c>
      <c r="N15" s="62">
        <f t="shared" si="2"/>
        <v>1163230.2915998376</v>
      </c>
      <c r="O15" s="46"/>
    </row>
    <row r="16" spans="1:54" s="48" customFormat="1" x14ac:dyDescent="0.25">
      <c r="A16" s="60" t="s">
        <v>16</v>
      </c>
      <c r="B16" s="44">
        <f>'6005 Consulting'!E7/12</f>
        <v>525</v>
      </c>
      <c r="C16" s="44">
        <f>'6005 Consulting'!E7/12</f>
        <v>525</v>
      </c>
      <c r="D16" s="44">
        <f>'6005 Consulting'!E7/12</f>
        <v>525</v>
      </c>
      <c r="E16" s="44">
        <f>'6005 Consulting'!E7/12</f>
        <v>525</v>
      </c>
      <c r="F16" s="44">
        <f>'6005 Consulting'!E7/12</f>
        <v>525</v>
      </c>
      <c r="G16" s="44">
        <f>'6005 Consulting'!E7/12</f>
        <v>525</v>
      </c>
      <c r="H16" s="44">
        <f>'6005 Consulting'!E7/12</f>
        <v>525</v>
      </c>
      <c r="I16" s="44">
        <f>'6005 Consulting'!E7/12</f>
        <v>525</v>
      </c>
      <c r="J16" s="44">
        <f>'6005 Consulting'!E7/12</f>
        <v>525</v>
      </c>
      <c r="K16" s="44">
        <f>'6005 Consulting'!E7/12</f>
        <v>525</v>
      </c>
      <c r="L16" s="44">
        <f>'6005 Consulting'!E7/12</f>
        <v>525</v>
      </c>
      <c r="M16" s="44">
        <f>'6005 Consulting'!E7/12</f>
        <v>525</v>
      </c>
      <c r="N16" s="45">
        <f t="shared" si="2"/>
        <v>6300</v>
      </c>
      <c r="O16" s="46"/>
    </row>
    <row r="17" spans="1:54" s="48" customFormat="1" x14ac:dyDescent="0.25">
      <c r="A17" s="60" t="s">
        <v>17</v>
      </c>
      <c r="B17" s="44">
        <v>770</v>
      </c>
      <c r="C17" s="44">
        <v>770</v>
      </c>
      <c r="D17" s="44">
        <v>770</v>
      </c>
      <c r="E17" s="44">
        <v>770</v>
      </c>
      <c r="F17" s="44">
        <v>770</v>
      </c>
      <c r="G17" s="44">
        <v>770</v>
      </c>
      <c r="H17" s="44">
        <v>770</v>
      </c>
      <c r="I17" s="44">
        <v>770</v>
      </c>
      <c r="J17" s="44">
        <v>770</v>
      </c>
      <c r="K17" s="44">
        <v>770</v>
      </c>
      <c r="L17" s="44">
        <v>770</v>
      </c>
      <c r="M17" s="44">
        <v>770</v>
      </c>
      <c r="N17" s="45">
        <f t="shared" si="2"/>
        <v>9240</v>
      </c>
      <c r="O17" s="46"/>
    </row>
    <row r="18" spans="1:54" s="48" customFormat="1" x14ac:dyDescent="0.25">
      <c r="A18" s="60" t="s">
        <v>18</v>
      </c>
      <c r="B18" s="44">
        <f>N18/12</f>
        <v>858</v>
      </c>
      <c r="C18" s="44">
        <f>N18/12</f>
        <v>858</v>
      </c>
      <c r="D18" s="44">
        <f>N18/12</f>
        <v>858</v>
      </c>
      <c r="E18" s="44">
        <f>N18/12</f>
        <v>858</v>
      </c>
      <c r="F18" s="44">
        <f>N18/12</f>
        <v>858</v>
      </c>
      <c r="G18" s="44">
        <f>N18/12</f>
        <v>858</v>
      </c>
      <c r="H18" s="44">
        <f>N18/12</f>
        <v>858</v>
      </c>
      <c r="I18" s="44">
        <f>N18/12</f>
        <v>858</v>
      </c>
      <c r="J18" s="44">
        <f>N18/12</f>
        <v>858</v>
      </c>
      <c r="K18" s="44">
        <f>N18/12</f>
        <v>858</v>
      </c>
      <c r="L18" s="44">
        <f>N18/12</f>
        <v>858</v>
      </c>
      <c r="M18" s="44">
        <f>N18/12</f>
        <v>858</v>
      </c>
      <c r="N18" s="45">
        <f>'6011 HR'!E7</f>
        <v>10296</v>
      </c>
      <c r="O18" s="63"/>
    </row>
    <row r="19" spans="1:54" s="48" customFormat="1" x14ac:dyDescent="0.25">
      <c r="A19" s="60" t="s">
        <v>19</v>
      </c>
      <c r="B19" s="44">
        <v>800</v>
      </c>
      <c r="C19" s="44">
        <v>800</v>
      </c>
      <c r="D19" s="44">
        <v>800</v>
      </c>
      <c r="E19" s="44">
        <v>800</v>
      </c>
      <c r="F19" s="44">
        <v>800</v>
      </c>
      <c r="G19" s="44">
        <f>800+16000</f>
        <v>16800</v>
      </c>
      <c r="H19" s="44">
        <v>800</v>
      </c>
      <c r="I19" s="44">
        <v>800</v>
      </c>
      <c r="J19" s="44">
        <v>800</v>
      </c>
      <c r="K19" s="44">
        <v>800</v>
      </c>
      <c r="L19" s="44">
        <v>800</v>
      </c>
      <c r="M19" s="44">
        <v>800</v>
      </c>
      <c r="N19" s="45">
        <f>'6020 Accounting'!E5</f>
        <v>25600</v>
      </c>
      <c r="O19" s="63"/>
    </row>
    <row r="20" spans="1:54" s="48" customFormat="1" x14ac:dyDescent="0.25">
      <c r="A20" s="60" t="s">
        <v>20</v>
      </c>
      <c r="B20" s="106">
        <f>N20/12</f>
        <v>3296.6666666666665</v>
      </c>
      <c r="C20" s="106">
        <f>N20/12</f>
        <v>3296.6666666666665</v>
      </c>
      <c r="D20" s="106">
        <f>N20/12</f>
        <v>3296.6666666666665</v>
      </c>
      <c r="E20" s="106">
        <f>N20/12</f>
        <v>3296.6666666666665</v>
      </c>
      <c r="F20" s="106">
        <f>N20/12</f>
        <v>3296.6666666666665</v>
      </c>
      <c r="G20" s="106">
        <f>N20/12</f>
        <v>3296.6666666666665</v>
      </c>
      <c r="H20" s="106">
        <f>N20/12</f>
        <v>3296.6666666666665</v>
      </c>
      <c r="I20" s="106">
        <f>N20/12</f>
        <v>3296.6666666666665</v>
      </c>
      <c r="J20" s="106">
        <f>N20/12</f>
        <v>3296.6666666666665</v>
      </c>
      <c r="K20" s="106">
        <f>N20/12</f>
        <v>3296.6666666666665</v>
      </c>
      <c r="L20" s="106">
        <f>N20/12</f>
        <v>3296.6666666666665</v>
      </c>
      <c r="M20" s="106">
        <f>N20/12</f>
        <v>3296.6666666666665</v>
      </c>
      <c r="N20" s="107">
        <f>'6025 Outside Services'!E6</f>
        <v>39560</v>
      </c>
      <c r="O20" s="46"/>
    </row>
    <row r="21" spans="1:54" s="48" customFormat="1" x14ac:dyDescent="0.25">
      <c r="A21" s="64" t="s">
        <v>21</v>
      </c>
      <c r="B21" s="109">
        <f>SUM(B16:B20)</f>
        <v>6249.6666666666661</v>
      </c>
      <c r="C21" s="51">
        <f>SUM(C16:C20)</f>
        <v>6249.6666666666661</v>
      </c>
      <c r="D21" s="51">
        <f t="shared" ref="D21:L21" si="4">SUM(D16:D20)</f>
        <v>6249.6666666666661</v>
      </c>
      <c r="E21" s="51">
        <f t="shared" si="4"/>
        <v>6249.6666666666661</v>
      </c>
      <c r="F21" s="51">
        <f t="shared" si="4"/>
        <v>6249.6666666666661</v>
      </c>
      <c r="G21" s="51">
        <f t="shared" si="4"/>
        <v>22249.666666666668</v>
      </c>
      <c r="H21" s="51">
        <f t="shared" si="4"/>
        <v>6249.6666666666661</v>
      </c>
      <c r="I21" s="51">
        <f t="shared" si="4"/>
        <v>6249.6666666666661</v>
      </c>
      <c r="J21" s="51">
        <f t="shared" si="4"/>
        <v>6249.6666666666661</v>
      </c>
      <c r="K21" s="51">
        <f t="shared" si="4"/>
        <v>6249.6666666666661</v>
      </c>
      <c r="L21" s="51">
        <f t="shared" si="4"/>
        <v>6249.6666666666661</v>
      </c>
      <c r="M21" s="51">
        <f>SUM(M16:M20)</f>
        <v>6249.6666666666661</v>
      </c>
      <c r="N21" s="108">
        <f>SUM(N16:N20)</f>
        <v>90996</v>
      </c>
      <c r="O21" s="67"/>
    </row>
    <row r="22" spans="1:54" s="68" customFormat="1" x14ac:dyDescent="0.25">
      <c r="A22" s="64" t="s">
        <v>22</v>
      </c>
      <c r="B22" s="109">
        <f t="shared" ref="B22:L22" si="5">SUM(B15:B20)</f>
        <v>108386.74136965119</v>
      </c>
      <c r="C22" s="51">
        <f t="shared" si="5"/>
        <v>108386.74136965119</v>
      </c>
      <c r="D22" s="51">
        <f t="shared" si="5"/>
        <v>115059.48425276807</v>
      </c>
      <c r="E22" s="51">
        <f t="shared" si="5"/>
        <v>130719.22465593781</v>
      </c>
      <c r="F22" s="51">
        <f t="shared" si="5"/>
        <v>93305.241925387119</v>
      </c>
      <c r="G22" s="51">
        <f t="shared" si="5"/>
        <v>108214.33283447803</v>
      </c>
      <c r="H22" s="51">
        <f t="shared" si="5"/>
        <v>92214.332834478031</v>
      </c>
      <c r="I22" s="51">
        <f t="shared" si="5"/>
        <v>92214.332834478031</v>
      </c>
      <c r="J22" s="51">
        <f t="shared" si="5"/>
        <v>92214.332834478031</v>
      </c>
      <c r="K22" s="51">
        <f t="shared" si="5"/>
        <v>129082.86101957418</v>
      </c>
      <c r="L22" s="51">
        <f t="shared" si="5"/>
        <v>92214.332834478031</v>
      </c>
      <c r="M22" s="51">
        <f>SUM(M15:M20)</f>
        <v>92214.332834478031</v>
      </c>
      <c r="N22" s="108">
        <f>SUM(N15:N20)</f>
        <v>1254226.2915998376</v>
      </c>
      <c r="O22" s="67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</row>
    <row r="23" spans="1:54" s="68" customFormat="1" ht="12" customHeight="1" x14ac:dyDescent="0.25">
      <c r="A23" s="143" t="s">
        <v>23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5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</row>
    <row r="24" spans="1:54" s="48" customFormat="1" ht="12" customHeight="1" x14ac:dyDescent="0.25">
      <c r="A24" s="60" t="s">
        <v>24</v>
      </c>
      <c r="B24" s="44">
        <v>6006</v>
      </c>
      <c r="C24" s="44">
        <v>6006</v>
      </c>
      <c r="D24" s="44">
        <v>6006</v>
      </c>
      <c r="E24" s="44">
        <v>6006</v>
      </c>
      <c r="F24" s="44">
        <v>6006</v>
      </c>
      <c r="G24" s="44">
        <v>6006</v>
      </c>
      <c r="H24" s="44">
        <v>6006</v>
      </c>
      <c r="I24" s="44">
        <v>6006</v>
      </c>
      <c r="J24" s="44">
        <v>6006</v>
      </c>
      <c r="K24" s="44">
        <v>6006</v>
      </c>
      <c r="L24" s="44">
        <v>6006</v>
      </c>
      <c r="M24" s="44">
        <v>6006</v>
      </c>
      <c r="N24" s="45">
        <f>SUM(B24:M24)</f>
        <v>72072</v>
      </c>
      <c r="O24" s="46"/>
    </row>
    <row r="25" spans="1:54" x14ac:dyDescent="0.25">
      <c r="A25" s="60" t="s">
        <v>25</v>
      </c>
      <c r="B25" s="44">
        <v>172</v>
      </c>
      <c r="C25" s="44">
        <v>172</v>
      </c>
      <c r="D25" s="44">
        <v>172</v>
      </c>
      <c r="E25" s="44">
        <v>172</v>
      </c>
      <c r="F25" s="44">
        <v>172</v>
      </c>
      <c r="G25" s="44">
        <v>172</v>
      </c>
      <c r="H25" s="44">
        <v>172</v>
      </c>
      <c r="I25" s="44">
        <v>172</v>
      </c>
      <c r="J25" s="44">
        <v>172</v>
      </c>
      <c r="K25" s="44">
        <v>172</v>
      </c>
      <c r="L25" s="44">
        <v>172</v>
      </c>
      <c r="M25" s="44">
        <v>172</v>
      </c>
      <c r="N25" s="45">
        <f>SUM(B25:M25)</f>
        <v>2064</v>
      </c>
      <c r="O25" s="69"/>
    </row>
    <row r="26" spans="1:54" s="70" customFormat="1" x14ac:dyDescent="0.25">
      <c r="A26" s="60" t="s">
        <v>26</v>
      </c>
      <c r="B26" s="44">
        <f>282+(35*6)</f>
        <v>492</v>
      </c>
      <c r="C26" s="44">
        <f t="shared" ref="C26:D26" si="6">282+(35*6)</f>
        <v>492</v>
      </c>
      <c r="D26" s="44">
        <f t="shared" si="6"/>
        <v>492</v>
      </c>
      <c r="E26" s="44">
        <f t="shared" ref="E26" si="7">237+(35*5)</f>
        <v>412</v>
      </c>
      <c r="F26" s="44">
        <f t="shared" ref="F26:M26" si="8">237+(35*4)</f>
        <v>377</v>
      </c>
      <c r="G26" s="44">
        <f t="shared" si="8"/>
        <v>377</v>
      </c>
      <c r="H26" s="44">
        <f t="shared" si="8"/>
        <v>377</v>
      </c>
      <c r="I26" s="44">
        <f t="shared" si="8"/>
        <v>377</v>
      </c>
      <c r="J26" s="44">
        <f t="shared" si="8"/>
        <v>377</v>
      </c>
      <c r="K26" s="44">
        <f t="shared" si="8"/>
        <v>377</v>
      </c>
      <c r="L26" s="44">
        <f t="shared" si="8"/>
        <v>377</v>
      </c>
      <c r="M26" s="44">
        <f t="shared" si="8"/>
        <v>377</v>
      </c>
      <c r="N26" s="45">
        <f>SUM(B26:M26)</f>
        <v>4904</v>
      </c>
      <c r="O26" s="63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</row>
    <row r="27" spans="1:54" s="70" customFormat="1" x14ac:dyDescent="0.25">
      <c r="A27" s="60" t="s">
        <v>27</v>
      </c>
      <c r="B27" s="44">
        <f>N27/12</f>
        <v>297</v>
      </c>
      <c r="C27" s="44">
        <f>N27/12</f>
        <v>297</v>
      </c>
      <c r="D27" s="44">
        <f>N27/12</f>
        <v>297</v>
      </c>
      <c r="E27" s="44">
        <f>N27/12</f>
        <v>297</v>
      </c>
      <c r="F27" s="44">
        <f>N27/12</f>
        <v>297</v>
      </c>
      <c r="G27" s="44">
        <f>N27/12</f>
        <v>297</v>
      </c>
      <c r="H27" s="44">
        <f>N27/12</f>
        <v>297</v>
      </c>
      <c r="I27" s="44">
        <f>N27/12</f>
        <v>297</v>
      </c>
      <c r="J27" s="44">
        <f>N27/12</f>
        <v>297</v>
      </c>
      <c r="K27" s="44">
        <f>N27/12</f>
        <v>297</v>
      </c>
      <c r="L27" s="44">
        <f>N27/12</f>
        <v>297</v>
      </c>
      <c r="M27" s="44">
        <f>N27/12</f>
        <v>297</v>
      </c>
      <c r="N27" s="45">
        <f>3000+564</f>
        <v>3564</v>
      </c>
      <c r="O27" s="46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</row>
    <row r="28" spans="1:54" x14ac:dyDescent="0.25">
      <c r="A28" s="60" t="s">
        <v>28</v>
      </c>
      <c r="B28" s="44">
        <f>N28/12</f>
        <v>1801.2466666666667</v>
      </c>
      <c r="C28" s="44">
        <f>N28/12</f>
        <v>1801.2466666666667</v>
      </c>
      <c r="D28" s="44">
        <f>N28/12</f>
        <v>1801.2466666666667</v>
      </c>
      <c r="E28" s="44">
        <f>N28/12</f>
        <v>1801.2466666666667</v>
      </c>
      <c r="F28" s="44">
        <f>N28/12</f>
        <v>1801.2466666666667</v>
      </c>
      <c r="G28" s="44">
        <f>N28/12</f>
        <v>1801.2466666666667</v>
      </c>
      <c r="H28" s="44">
        <f>N28/12</f>
        <v>1801.2466666666667</v>
      </c>
      <c r="I28" s="44">
        <f>N28/12</f>
        <v>1801.2466666666667</v>
      </c>
      <c r="J28" s="44">
        <f>N28/12</f>
        <v>1801.2466666666667</v>
      </c>
      <c r="K28" s="44">
        <f>N28/12</f>
        <v>1801.2466666666667</v>
      </c>
      <c r="L28" s="44">
        <f>N28/12</f>
        <v>1801.2466666666667</v>
      </c>
      <c r="M28" s="44">
        <f>N28/12</f>
        <v>1801.2466666666667</v>
      </c>
      <c r="N28" s="45">
        <f>'6208 Web-Based Services'!E15</f>
        <v>21614.959999999999</v>
      </c>
      <c r="O28" s="46"/>
    </row>
    <row r="29" spans="1:54" s="48" customFormat="1" ht="13.2" customHeight="1" x14ac:dyDescent="0.25">
      <c r="A29" s="60" t="s">
        <v>29</v>
      </c>
      <c r="B29" s="44">
        <v>665</v>
      </c>
      <c r="C29" s="44">
        <v>665</v>
      </c>
      <c r="D29" s="44">
        <v>665</v>
      </c>
      <c r="E29" s="44">
        <v>665</v>
      </c>
      <c r="F29" s="44">
        <v>665</v>
      </c>
      <c r="G29" s="44">
        <v>665</v>
      </c>
      <c r="H29" s="44">
        <v>665</v>
      </c>
      <c r="I29" s="44">
        <v>665</v>
      </c>
      <c r="J29" s="44">
        <v>665</v>
      </c>
      <c r="K29" s="44">
        <f>3245+665</f>
        <v>3910</v>
      </c>
      <c r="L29" s="44">
        <v>665</v>
      </c>
      <c r="M29" s="44">
        <v>665</v>
      </c>
      <c r="N29" s="45">
        <f>SUM(B29:M29)</f>
        <v>11225</v>
      </c>
      <c r="O29" s="46"/>
    </row>
    <row r="30" spans="1:54" x14ac:dyDescent="0.25">
      <c r="A30" s="60" t="s">
        <v>30</v>
      </c>
      <c r="B30" s="44">
        <v>200</v>
      </c>
      <c r="C30" s="44">
        <v>200</v>
      </c>
      <c r="D30" s="44">
        <v>200</v>
      </c>
      <c r="E30" s="44">
        <v>200</v>
      </c>
      <c r="F30" s="44">
        <v>200</v>
      </c>
      <c r="G30" s="44">
        <v>200</v>
      </c>
      <c r="H30" s="44">
        <v>200</v>
      </c>
      <c r="I30" s="44">
        <v>200</v>
      </c>
      <c r="J30" s="44">
        <v>200</v>
      </c>
      <c r="K30" s="44">
        <v>200</v>
      </c>
      <c r="L30" s="44">
        <v>200</v>
      </c>
      <c r="M30" s="44">
        <v>200</v>
      </c>
      <c r="N30" s="45">
        <f t="shared" ref="N30:N39" si="9">SUM(B30:M30)</f>
        <v>2400</v>
      </c>
      <c r="O30" s="63"/>
    </row>
    <row r="31" spans="1:54" x14ac:dyDescent="0.25">
      <c r="A31" s="60" t="s">
        <v>31</v>
      </c>
      <c r="B31" s="44">
        <v>0</v>
      </c>
      <c r="C31" s="44">
        <v>0</v>
      </c>
      <c r="D31" s="44">
        <v>500</v>
      </c>
      <c r="E31" s="44">
        <v>0</v>
      </c>
      <c r="F31" s="44">
        <v>0</v>
      </c>
      <c r="G31" s="44">
        <v>500</v>
      </c>
      <c r="H31" s="44">
        <v>0</v>
      </c>
      <c r="I31" s="44">
        <v>0</v>
      </c>
      <c r="J31" s="44">
        <v>500</v>
      </c>
      <c r="K31" s="44">
        <v>0</v>
      </c>
      <c r="L31" s="44">
        <v>0</v>
      </c>
      <c r="M31" s="44">
        <v>500</v>
      </c>
      <c r="N31" s="45">
        <f t="shared" si="9"/>
        <v>2000</v>
      </c>
      <c r="O31" s="63"/>
    </row>
    <row r="32" spans="1:54" x14ac:dyDescent="0.25">
      <c r="A32" s="60" t="s">
        <v>32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6971</v>
      </c>
      <c r="K32" s="44">
        <v>0</v>
      </c>
      <c r="L32" s="44">
        <v>0</v>
      </c>
      <c r="M32" s="44">
        <v>0</v>
      </c>
      <c r="N32" s="45">
        <f t="shared" si="9"/>
        <v>6971</v>
      </c>
      <c r="O32" s="63"/>
    </row>
    <row r="33" spans="1:54" x14ac:dyDescent="0.25">
      <c r="A33" s="60" t="s">
        <v>33</v>
      </c>
      <c r="B33" s="44">
        <v>40</v>
      </c>
      <c r="C33" s="44">
        <v>40</v>
      </c>
      <c r="D33" s="44">
        <v>40</v>
      </c>
      <c r="E33" s="44">
        <v>40</v>
      </c>
      <c r="F33" s="44">
        <v>40</v>
      </c>
      <c r="G33" s="44">
        <v>40</v>
      </c>
      <c r="H33" s="44">
        <v>40</v>
      </c>
      <c r="I33" s="44">
        <v>40</v>
      </c>
      <c r="J33" s="44">
        <v>40</v>
      </c>
      <c r="K33" s="44">
        <v>40</v>
      </c>
      <c r="L33" s="44">
        <v>40</v>
      </c>
      <c r="M33" s="44">
        <v>40</v>
      </c>
      <c r="N33" s="45">
        <f t="shared" si="9"/>
        <v>480</v>
      </c>
      <c r="O33" s="71"/>
    </row>
    <row r="34" spans="1:54" x14ac:dyDescent="0.25">
      <c r="A34" s="60" t="s">
        <v>34</v>
      </c>
      <c r="B34" s="44">
        <v>60</v>
      </c>
      <c r="C34" s="44">
        <v>60</v>
      </c>
      <c r="D34" s="44">
        <v>60</v>
      </c>
      <c r="E34" s="44">
        <v>60</v>
      </c>
      <c r="F34" s="44">
        <v>60</v>
      </c>
      <c r="G34" s="44">
        <v>60</v>
      </c>
      <c r="H34" s="44">
        <v>60</v>
      </c>
      <c r="I34" s="44">
        <v>60</v>
      </c>
      <c r="J34" s="44">
        <v>60</v>
      </c>
      <c r="K34" s="44">
        <v>60</v>
      </c>
      <c r="L34" s="44">
        <v>60</v>
      </c>
      <c r="M34" s="44">
        <v>60</v>
      </c>
      <c r="N34" s="45">
        <f t="shared" si="9"/>
        <v>720</v>
      </c>
      <c r="O34" s="63"/>
    </row>
    <row r="35" spans="1:54" s="70" customFormat="1" x14ac:dyDescent="0.25">
      <c r="A35" s="60" t="s">
        <v>35</v>
      </c>
      <c r="B35" s="44">
        <v>500</v>
      </c>
      <c r="C35" s="44">
        <v>500</v>
      </c>
      <c r="D35" s="44">
        <v>500</v>
      </c>
      <c r="E35" s="44">
        <v>500</v>
      </c>
      <c r="F35" s="44">
        <v>500</v>
      </c>
      <c r="G35" s="44">
        <v>500</v>
      </c>
      <c r="H35" s="44">
        <v>500</v>
      </c>
      <c r="I35" s="44">
        <v>500</v>
      </c>
      <c r="J35" s="44">
        <v>500</v>
      </c>
      <c r="K35" s="44">
        <v>500</v>
      </c>
      <c r="L35" s="44">
        <v>500</v>
      </c>
      <c r="M35" s="44">
        <v>500</v>
      </c>
      <c r="N35" s="45">
        <f t="shared" si="9"/>
        <v>6000</v>
      </c>
      <c r="O35" s="46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</row>
    <row r="36" spans="1:54" x14ac:dyDescent="0.25">
      <c r="A36" s="60" t="s">
        <v>36</v>
      </c>
      <c r="B36" s="44">
        <v>25</v>
      </c>
      <c r="C36" s="44">
        <v>25</v>
      </c>
      <c r="D36" s="44">
        <v>25</v>
      </c>
      <c r="E36" s="44">
        <v>25</v>
      </c>
      <c r="F36" s="44">
        <v>25</v>
      </c>
      <c r="G36" s="44">
        <v>25</v>
      </c>
      <c r="H36" s="44">
        <v>25</v>
      </c>
      <c r="I36" s="44">
        <v>25</v>
      </c>
      <c r="J36" s="44">
        <v>25</v>
      </c>
      <c r="K36" s="44">
        <v>25</v>
      </c>
      <c r="L36" s="44">
        <v>25</v>
      </c>
      <c r="M36" s="44">
        <v>25</v>
      </c>
      <c r="N36" s="45">
        <f t="shared" si="9"/>
        <v>300</v>
      </c>
      <c r="O36" s="63"/>
    </row>
    <row r="37" spans="1:54" x14ac:dyDescent="0.25">
      <c r="A37" s="60" t="s">
        <v>37</v>
      </c>
      <c r="B37" s="44">
        <f>930+5200</f>
        <v>6130</v>
      </c>
      <c r="C37" s="44">
        <v>930</v>
      </c>
      <c r="D37" s="44">
        <v>930</v>
      </c>
      <c r="E37" s="44">
        <f>930+3650+300+1500</f>
        <v>6380</v>
      </c>
      <c r="F37" s="44">
        <v>930</v>
      </c>
      <c r="G37" s="44">
        <f>930+400</f>
        <v>1330</v>
      </c>
      <c r="H37" s="44">
        <f>930+500</f>
        <v>1430</v>
      </c>
      <c r="I37" s="44">
        <v>930</v>
      </c>
      <c r="J37" s="44">
        <v>930</v>
      </c>
      <c r="K37" s="44">
        <v>930</v>
      </c>
      <c r="L37" s="44">
        <v>930</v>
      </c>
      <c r="M37" s="44">
        <v>930</v>
      </c>
      <c r="N37" s="45">
        <f>SUM(B37:M37)</f>
        <v>22710</v>
      </c>
      <c r="O37" s="72"/>
    </row>
    <row r="38" spans="1:54" x14ac:dyDescent="0.25">
      <c r="A38" s="60" t="s">
        <v>38</v>
      </c>
      <c r="B38" s="44">
        <v>1500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5">
        <f t="shared" si="9"/>
        <v>1500</v>
      </c>
      <c r="O38" s="63"/>
    </row>
    <row r="39" spans="1:54" x14ac:dyDescent="0.25">
      <c r="A39" s="88" t="s">
        <v>39</v>
      </c>
      <c r="B39" s="44">
        <v>200</v>
      </c>
      <c r="C39" s="44">
        <v>200</v>
      </c>
      <c r="D39" s="44">
        <v>200</v>
      </c>
      <c r="E39" s="44">
        <v>200</v>
      </c>
      <c r="F39" s="44">
        <v>200</v>
      </c>
      <c r="G39" s="44">
        <v>200</v>
      </c>
      <c r="H39" s="44">
        <v>200</v>
      </c>
      <c r="I39" s="44">
        <v>200</v>
      </c>
      <c r="J39" s="44">
        <v>200</v>
      </c>
      <c r="K39" s="44">
        <v>200</v>
      </c>
      <c r="L39" s="44">
        <v>200</v>
      </c>
      <c r="M39" s="44">
        <v>200</v>
      </c>
      <c r="N39" s="45">
        <f t="shared" si="9"/>
        <v>2400</v>
      </c>
      <c r="O39" s="73"/>
    </row>
    <row r="40" spans="1:54" x14ac:dyDescent="0.25">
      <c r="A40" s="103" t="s">
        <v>40</v>
      </c>
      <c r="B40" s="65">
        <f t="shared" ref="B40:L40" si="10">SUM(B24:B39)</f>
        <v>18088.246666666666</v>
      </c>
      <c r="C40" s="65">
        <f t="shared" si="10"/>
        <v>11388.246666666666</v>
      </c>
      <c r="D40" s="65">
        <f t="shared" si="10"/>
        <v>11888.246666666666</v>
      </c>
      <c r="E40" s="65">
        <f t="shared" si="10"/>
        <v>16758.246666666666</v>
      </c>
      <c r="F40" s="65">
        <f t="shared" si="10"/>
        <v>11273.246666666666</v>
      </c>
      <c r="G40" s="65">
        <f t="shared" si="10"/>
        <v>12173.246666666666</v>
      </c>
      <c r="H40" s="65">
        <f t="shared" si="10"/>
        <v>11773.246666666666</v>
      </c>
      <c r="I40" s="65">
        <f t="shared" si="10"/>
        <v>11273.246666666666</v>
      </c>
      <c r="J40" s="65">
        <f t="shared" si="10"/>
        <v>18744.246666666666</v>
      </c>
      <c r="K40" s="65">
        <f t="shared" si="10"/>
        <v>14518.246666666666</v>
      </c>
      <c r="L40" s="65">
        <f t="shared" si="10"/>
        <v>11273.246666666666</v>
      </c>
      <c r="M40" s="65">
        <f>SUM(M24:M39)</f>
        <v>11773.246666666666</v>
      </c>
      <c r="N40" s="66">
        <f>SUM(N24:N39)</f>
        <v>160924.96</v>
      </c>
      <c r="O40" s="73"/>
    </row>
    <row r="41" spans="1:54" ht="12.75" customHeight="1" x14ac:dyDescent="0.25">
      <c r="A41" s="143" t="s">
        <v>41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5"/>
    </row>
    <row r="42" spans="1:54" x14ac:dyDescent="0.25">
      <c r="A42" s="60" t="s">
        <v>42</v>
      </c>
      <c r="B42" s="44">
        <v>50</v>
      </c>
      <c r="C42" s="44">
        <v>50</v>
      </c>
      <c r="D42" s="44">
        <v>50</v>
      </c>
      <c r="E42" s="44">
        <v>50</v>
      </c>
      <c r="F42" s="44">
        <v>50</v>
      </c>
      <c r="G42" s="44">
        <v>50</v>
      </c>
      <c r="H42" s="44">
        <v>50</v>
      </c>
      <c r="I42" s="44">
        <v>50</v>
      </c>
      <c r="J42" s="44">
        <v>50</v>
      </c>
      <c r="K42" s="44">
        <v>50</v>
      </c>
      <c r="L42" s="44">
        <v>50</v>
      </c>
      <c r="M42" s="44">
        <v>50</v>
      </c>
      <c r="N42" s="45">
        <f t="shared" ref="N42:N45" si="11">SUM(B42:M42)</f>
        <v>600</v>
      </c>
      <c r="O42" s="46"/>
    </row>
    <row r="43" spans="1:54" x14ac:dyDescent="0.25">
      <c r="A43" s="60" t="s">
        <v>43</v>
      </c>
      <c r="B43" s="44">
        <v>100</v>
      </c>
      <c r="C43" s="44">
        <v>0</v>
      </c>
      <c r="D43" s="44">
        <v>0</v>
      </c>
      <c r="E43" s="44">
        <v>100</v>
      </c>
      <c r="F43" s="44">
        <v>0</v>
      </c>
      <c r="G43" s="44">
        <v>0</v>
      </c>
      <c r="H43" s="44">
        <v>100</v>
      </c>
      <c r="I43" s="44">
        <v>0</v>
      </c>
      <c r="J43" s="44">
        <v>0</v>
      </c>
      <c r="K43" s="44">
        <v>100</v>
      </c>
      <c r="L43" s="44">
        <v>0</v>
      </c>
      <c r="M43" s="44">
        <v>0</v>
      </c>
      <c r="N43" s="45">
        <f>SUM(B43:M43)</f>
        <v>400</v>
      </c>
      <c r="O43" s="46"/>
    </row>
    <row r="44" spans="1:54" x14ac:dyDescent="0.25">
      <c r="A44" s="60" t="s">
        <v>44</v>
      </c>
      <c r="B44" s="44">
        <v>338</v>
      </c>
      <c r="C44" s="44">
        <v>338</v>
      </c>
      <c r="D44" s="44">
        <v>338</v>
      </c>
      <c r="E44" s="44">
        <v>338</v>
      </c>
      <c r="F44" s="44">
        <v>338</v>
      </c>
      <c r="G44" s="44">
        <v>338</v>
      </c>
      <c r="H44" s="44">
        <v>338</v>
      </c>
      <c r="I44" s="44">
        <v>338</v>
      </c>
      <c r="J44" s="44">
        <v>338</v>
      </c>
      <c r="K44" s="44">
        <v>338</v>
      </c>
      <c r="L44" s="44">
        <v>338</v>
      </c>
      <c r="M44" s="44">
        <v>338</v>
      </c>
      <c r="N44" s="45">
        <f>SUM(B44:M44)</f>
        <v>4056</v>
      </c>
      <c r="O44" s="46"/>
    </row>
    <row r="45" spans="1:54" x14ac:dyDescent="0.25">
      <c r="A45" s="60" t="s">
        <v>45</v>
      </c>
      <c r="B45" s="44">
        <v>150</v>
      </c>
      <c r="C45" s="44">
        <v>0</v>
      </c>
      <c r="D45" s="44">
        <v>0</v>
      </c>
      <c r="E45" s="44">
        <v>150</v>
      </c>
      <c r="F45" s="44">
        <v>0</v>
      </c>
      <c r="G45" s="44">
        <v>0</v>
      </c>
      <c r="H45" s="44">
        <v>150</v>
      </c>
      <c r="I45" s="44">
        <v>0</v>
      </c>
      <c r="J45" s="44">
        <v>0</v>
      </c>
      <c r="K45" s="44">
        <v>150</v>
      </c>
      <c r="L45" s="44">
        <v>0</v>
      </c>
      <c r="M45" s="44">
        <v>0</v>
      </c>
      <c r="N45" s="45">
        <f t="shared" si="11"/>
        <v>600</v>
      </c>
      <c r="O45" s="46"/>
    </row>
    <row r="46" spans="1:54" s="74" customFormat="1" x14ac:dyDescent="0.25">
      <c r="A46" s="60" t="s">
        <v>46</v>
      </c>
      <c r="B46" s="44">
        <v>750</v>
      </c>
      <c r="C46" s="44">
        <v>750</v>
      </c>
      <c r="D46" s="44">
        <v>750</v>
      </c>
      <c r="E46" s="44">
        <v>750</v>
      </c>
      <c r="F46" s="44">
        <v>750</v>
      </c>
      <c r="G46" s="44">
        <v>750</v>
      </c>
      <c r="H46" s="44">
        <v>750</v>
      </c>
      <c r="I46" s="44">
        <v>750</v>
      </c>
      <c r="J46" s="44">
        <v>750</v>
      </c>
      <c r="K46" s="44">
        <v>750</v>
      </c>
      <c r="L46" s="44">
        <v>750</v>
      </c>
      <c r="M46" s="44">
        <v>750</v>
      </c>
      <c r="N46" s="45">
        <f>SUM(B46:M46)</f>
        <v>9000</v>
      </c>
      <c r="O46" s="46"/>
    </row>
    <row r="47" spans="1:54" s="74" customFormat="1" x14ac:dyDescent="0.25">
      <c r="A47" s="102" t="s">
        <v>47</v>
      </c>
      <c r="B47" s="51">
        <f>SUM(B42:B46)</f>
        <v>1388</v>
      </c>
      <c r="C47" s="51">
        <f t="shared" ref="C47:L47" si="12">SUM(C42:C46)</f>
        <v>1138</v>
      </c>
      <c r="D47" s="51">
        <f t="shared" si="12"/>
        <v>1138</v>
      </c>
      <c r="E47" s="51">
        <f t="shared" si="12"/>
        <v>1388</v>
      </c>
      <c r="F47" s="51">
        <f t="shared" si="12"/>
        <v>1138</v>
      </c>
      <c r="G47" s="51">
        <f t="shared" si="12"/>
        <v>1138</v>
      </c>
      <c r="H47" s="51">
        <f t="shared" si="12"/>
        <v>1388</v>
      </c>
      <c r="I47" s="51">
        <f t="shared" si="12"/>
        <v>1138</v>
      </c>
      <c r="J47" s="51">
        <f t="shared" si="12"/>
        <v>1138</v>
      </c>
      <c r="K47" s="51">
        <f t="shared" si="12"/>
        <v>1388</v>
      </c>
      <c r="L47" s="51">
        <f t="shared" si="12"/>
        <v>1138</v>
      </c>
      <c r="M47" s="51">
        <f>SUM(M42:M46)</f>
        <v>1138</v>
      </c>
      <c r="N47" s="62">
        <f>SUM(B47:M47)</f>
        <v>14656</v>
      </c>
      <c r="O47" s="46"/>
    </row>
    <row r="48" spans="1:54" x14ac:dyDescent="0.25">
      <c r="A48" s="104" t="s">
        <v>48</v>
      </c>
      <c r="B48" s="79">
        <f t="shared" ref="B48:L48" si="13">SUM(B22,B40,B47)</f>
        <v>127862.98803631787</v>
      </c>
      <c r="C48" s="79">
        <f t="shared" si="13"/>
        <v>120912.98803631787</v>
      </c>
      <c r="D48" s="79">
        <f t="shared" si="13"/>
        <v>128085.73091943475</v>
      </c>
      <c r="E48" s="79">
        <f t="shared" si="13"/>
        <v>148865.47132260448</v>
      </c>
      <c r="F48" s="79">
        <f t="shared" si="13"/>
        <v>105716.48859205379</v>
      </c>
      <c r="G48" s="79">
        <f t="shared" si="13"/>
        <v>121525.5795011447</v>
      </c>
      <c r="H48" s="79">
        <f t="shared" si="13"/>
        <v>105375.5795011447</v>
      </c>
      <c r="I48" s="79">
        <f t="shared" si="13"/>
        <v>104625.5795011447</v>
      </c>
      <c r="J48" s="79">
        <f t="shared" si="13"/>
        <v>112096.5795011447</v>
      </c>
      <c r="K48" s="79">
        <f t="shared" si="13"/>
        <v>144989.10768624084</v>
      </c>
      <c r="L48" s="79">
        <f t="shared" si="13"/>
        <v>104625.5795011447</v>
      </c>
      <c r="M48" s="79">
        <f>SUM(M22,M40,M47)</f>
        <v>105125.5795011447</v>
      </c>
      <c r="N48" s="79">
        <f>SUM(N22,N40,N47)</f>
        <v>1429807.2515998376</v>
      </c>
      <c r="O48" s="75"/>
    </row>
    <row r="49" spans="1:15" x14ac:dyDescent="0.25">
      <c r="A49" s="105"/>
      <c r="B49" s="76">
        <v>46023</v>
      </c>
      <c r="C49" s="76">
        <v>46054</v>
      </c>
      <c r="D49" s="76">
        <v>46082</v>
      </c>
      <c r="E49" s="76">
        <v>46113</v>
      </c>
      <c r="F49" s="76">
        <v>46143</v>
      </c>
      <c r="G49" s="76">
        <v>46174</v>
      </c>
      <c r="H49" s="76">
        <v>46204</v>
      </c>
      <c r="I49" s="76">
        <v>46235</v>
      </c>
      <c r="J49" s="76">
        <v>46266</v>
      </c>
      <c r="K49" s="76">
        <v>46296</v>
      </c>
      <c r="L49" s="76">
        <v>46327</v>
      </c>
      <c r="M49" s="76">
        <v>46357</v>
      </c>
      <c r="N49" s="76"/>
      <c r="O49" s="77"/>
    </row>
    <row r="50" spans="1:15" x14ac:dyDescent="0.25">
      <c r="A50" s="110" t="s">
        <v>49</v>
      </c>
      <c r="B50" s="111">
        <f>B7-B48</f>
        <v>61137.011963682133</v>
      </c>
      <c r="C50" s="111">
        <f t="shared" ref="C50:M50" si="14">C7-C48</f>
        <v>-64412.988036317867</v>
      </c>
      <c r="D50" s="111">
        <f t="shared" si="14"/>
        <v>-17085.730919434747</v>
      </c>
      <c r="E50" s="111">
        <f t="shared" si="14"/>
        <v>-81365.471322604484</v>
      </c>
      <c r="F50" s="111">
        <f t="shared" si="14"/>
        <v>-100216.48859205379</v>
      </c>
      <c r="G50" s="111">
        <f t="shared" si="14"/>
        <v>79974.420498855296</v>
      </c>
      <c r="H50" s="111">
        <f t="shared" si="14"/>
        <v>-53875.579501144704</v>
      </c>
      <c r="I50" s="111">
        <f t="shared" si="14"/>
        <v>-103125.5795011447</v>
      </c>
      <c r="J50" s="111">
        <f t="shared" si="14"/>
        <v>264403.4204988553</v>
      </c>
      <c r="K50" s="111">
        <f t="shared" si="14"/>
        <v>-143489.10768624084</v>
      </c>
      <c r="L50" s="111">
        <f t="shared" si="14"/>
        <v>-93125.579501144704</v>
      </c>
      <c r="M50" s="111">
        <f t="shared" si="14"/>
        <v>-56625.579501144704</v>
      </c>
      <c r="N50" s="111">
        <f>N7-N48</f>
        <v>-307807.25159983756</v>
      </c>
      <c r="O50" s="78"/>
    </row>
    <row r="51" spans="1:15" x14ac:dyDescent="0.25">
      <c r="A51" s="49" t="s">
        <v>50</v>
      </c>
      <c r="B51" s="56">
        <f>Staff!G85</f>
        <v>14</v>
      </c>
      <c r="C51" s="56">
        <f>Staff!G86</f>
        <v>14</v>
      </c>
      <c r="D51" s="56">
        <f>Staff!G87</f>
        <v>15</v>
      </c>
      <c r="E51" s="56">
        <f>Staff!G88</f>
        <v>12</v>
      </c>
      <c r="F51" s="56">
        <f>Staff!G89</f>
        <v>12</v>
      </c>
      <c r="G51" s="56">
        <f>Staff!G90</f>
        <v>11</v>
      </c>
      <c r="H51" s="56">
        <f>Staff!G91</f>
        <v>11</v>
      </c>
      <c r="I51" s="56">
        <f>Staff!G92</f>
        <v>11</v>
      </c>
      <c r="J51" s="56">
        <f>Staff!G93</f>
        <v>11</v>
      </c>
      <c r="K51" s="56">
        <f>Staff!G94</f>
        <v>11</v>
      </c>
      <c r="L51" s="56">
        <f>Staff!G95</f>
        <v>11</v>
      </c>
      <c r="M51" s="56">
        <f>Staff!G96</f>
        <v>11</v>
      </c>
    </row>
    <row r="52" spans="1:15" x14ac:dyDescent="0.25">
      <c r="A52" s="49" t="s">
        <v>51</v>
      </c>
      <c r="B52" s="112">
        <f>644250+B50</f>
        <v>705387.01196368213</v>
      </c>
      <c r="C52" s="112">
        <f t="shared" ref="C52:L52" si="15">B52+C50</f>
        <v>640974.02392736427</v>
      </c>
      <c r="D52" s="113">
        <f t="shared" si="15"/>
        <v>623888.29300792958</v>
      </c>
      <c r="E52" s="113">
        <f t="shared" si="15"/>
        <v>542522.82168532512</v>
      </c>
      <c r="F52" s="112">
        <f t="shared" si="15"/>
        <v>442306.33309327136</v>
      </c>
      <c r="G52" s="112">
        <f t="shared" si="15"/>
        <v>522280.75359212665</v>
      </c>
      <c r="H52" s="112">
        <f t="shared" si="15"/>
        <v>468405.17409098195</v>
      </c>
      <c r="I52" s="114">
        <f t="shared" si="15"/>
        <v>365279.59458983724</v>
      </c>
      <c r="J52" s="112">
        <f t="shared" si="15"/>
        <v>629683.01508869254</v>
      </c>
      <c r="K52" s="112">
        <f t="shared" si="15"/>
        <v>486193.90740245173</v>
      </c>
      <c r="L52" s="114">
        <f t="shared" si="15"/>
        <v>393068.32790130703</v>
      </c>
      <c r="M52" s="114">
        <f>L52+M50</f>
        <v>336442.74840016232</v>
      </c>
    </row>
    <row r="53" spans="1:15" x14ac:dyDescent="0.25">
      <c r="A53" s="49" t="s">
        <v>52</v>
      </c>
      <c r="B53" s="137">
        <f>B52-728789</f>
        <v>-23401.988036317867</v>
      </c>
      <c r="C53" s="137">
        <f t="shared" ref="C53:M53" si="16">C52-728789</f>
        <v>-87814.976072635734</v>
      </c>
      <c r="D53" s="113">
        <f t="shared" si="16"/>
        <v>-104900.70699207042</v>
      </c>
      <c r="E53" s="113">
        <f t="shared" si="16"/>
        <v>-186266.17831467488</v>
      </c>
      <c r="F53" s="113">
        <f t="shared" si="16"/>
        <v>-286482.66690672864</v>
      </c>
      <c r="G53" s="113">
        <f t="shared" si="16"/>
        <v>-206508.24640787335</v>
      </c>
      <c r="H53" s="113">
        <f t="shared" si="16"/>
        <v>-260383.82590901805</v>
      </c>
      <c r="I53" s="137">
        <f t="shared" si="16"/>
        <v>-363509.40541016276</v>
      </c>
      <c r="J53" s="137">
        <f t="shared" si="16"/>
        <v>-99105.98491130746</v>
      </c>
      <c r="K53" s="137">
        <f t="shared" si="16"/>
        <v>-242595.09259754827</v>
      </c>
      <c r="L53" s="137">
        <f t="shared" si="16"/>
        <v>-335720.67209869297</v>
      </c>
      <c r="M53" s="137">
        <f t="shared" si="16"/>
        <v>-392346.25159983768</v>
      </c>
      <c r="N53" s="115"/>
    </row>
    <row r="54" spans="1:15" x14ac:dyDescent="0.25">
      <c r="N54" s="115"/>
    </row>
    <row r="55" spans="1:15" x14ac:dyDescent="0.25">
      <c r="A55" s="49" t="s">
        <v>53</v>
      </c>
      <c r="B55" s="116"/>
    </row>
    <row r="56" spans="1:15" x14ac:dyDescent="0.25">
      <c r="A56" s="49" t="s">
        <v>54</v>
      </c>
      <c r="B56" s="117"/>
    </row>
  </sheetData>
  <mergeCells count="5">
    <mergeCell ref="A8:O8"/>
    <mergeCell ref="A41:O41"/>
    <mergeCell ref="A23:O23"/>
    <mergeCell ref="A11:O11"/>
    <mergeCell ref="A10:O10"/>
  </mergeCells>
  <phoneticPr fontId="2" type="noConversion"/>
  <printOptions horizontalCentered="1" gridLines="1"/>
  <pageMargins left="0.25" right="0.25" top="0.75" bottom="0.75" header="0.3" footer="0.3"/>
  <pageSetup scale="69" orientation="landscape" horizontalDpi="4294967295" verticalDpi="4294967295" r:id="rId1"/>
  <headerFooter alignWithMargins="0">
    <oddHeader xml:space="preserve">&amp;C&amp;"-,Bold"&amp;16Prosperity Connection
&amp;K0000002026 &amp;KFF0000DRAFT&amp;K000000 Budget
</oddHeader>
    <oddFooter>&amp;R&amp;"Arial,Bold"&amp;K000000CONFIDENTIAL - Internal Use Only&amp;"Arial,Regular"
&amp;KFF0000DRAFT FOR BOARD AND COMMITTEE REVIEW (Updated on Nov. 18, 2025)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O102"/>
  <sheetViews>
    <sheetView zoomScale="110" zoomScaleNormal="110" workbookViewId="0">
      <selection activeCell="D44" sqref="D44"/>
    </sheetView>
  </sheetViews>
  <sheetFormatPr defaultColWidth="8.88671875" defaultRowHeight="13.2" x14ac:dyDescent="0.25"/>
  <cols>
    <col min="1" max="1" width="39.33203125" style="13" customWidth="1"/>
    <col min="2" max="2" width="17" style="13" customWidth="1"/>
    <col min="3" max="3" width="46.33203125" style="13" hidden="1" customWidth="1"/>
    <col min="4" max="4" width="20.88671875" style="13" customWidth="1"/>
    <col min="5" max="5" width="18.44140625" style="119" hidden="1" customWidth="1"/>
    <col min="6" max="6" width="22.5546875" style="13" customWidth="1"/>
    <col min="7" max="7" width="21.33203125" style="13" customWidth="1"/>
    <col min="8" max="8" width="5.6640625" style="16" customWidth="1"/>
    <col min="9" max="9" width="18.6640625" style="16" customWidth="1"/>
    <col min="10" max="10" width="16" style="16" customWidth="1"/>
    <col min="11" max="11" width="4.44140625" style="16" customWidth="1"/>
    <col min="12" max="12" width="16.88671875" style="13" customWidth="1"/>
    <col min="13" max="13" width="15.6640625" style="13" bestFit="1" customWidth="1"/>
    <col min="14" max="14" width="16.5546875" style="13" bestFit="1" customWidth="1"/>
    <col min="15" max="15" width="12.5546875" style="13" bestFit="1" customWidth="1"/>
    <col min="16" max="16384" width="8.88671875" style="13"/>
  </cols>
  <sheetData>
    <row r="1" spans="1:13" ht="18.75" customHeight="1" x14ac:dyDescent="0.25">
      <c r="A1" s="9" t="s">
        <v>55</v>
      </c>
      <c r="B1" s="9"/>
    </row>
    <row r="2" spans="1:13" x14ac:dyDescent="0.25">
      <c r="A2" s="20" t="s">
        <v>56</v>
      </c>
      <c r="B2" s="20" t="s">
        <v>57</v>
      </c>
      <c r="C2" s="20" t="s">
        <v>58</v>
      </c>
      <c r="D2" s="21" t="s">
        <v>59</v>
      </c>
      <c r="E2" s="120" t="s">
        <v>60</v>
      </c>
      <c r="F2" s="21" t="s">
        <v>61</v>
      </c>
      <c r="G2" s="21" t="s">
        <v>62</v>
      </c>
      <c r="H2" s="96"/>
    </row>
    <row r="3" spans="1:13" ht="14.1" customHeight="1" x14ac:dyDescent="0.25">
      <c r="A3" s="93" t="s">
        <v>63</v>
      </c>
      <c r="B3" s="93" t="s">
        <v>64</v>
      </c>
      <c r="C3" s="93"/>
      <c r="D3" s="123">
        <v>30000</v>
      </c>
      <c r="E3" s="121">
        <v>1</v>
      </c>
      <c r="F3" s="95" t="s">
        <v>65</v>
      </c>
      <c r="G3" s="130">
        <f t="shared" ref="G3:G28" si="0">SUM(D3/$D$32)</f>
        <v>2.7372262773722629E-2</v>
      </c>
    </row>
    <row r="4" spans="1:13" ht="14.1" customHeight="1" x14ac:dyDescent="0.25">
      <c r="A4" s="93" t="s">
        <v>66</v>
      </c>
      <c r="B4" s="93" t="s">
        <v>64</v>
      </c>
      <c r="C4" s="93"/>
      <c r="D4" s="123">
        <v>25000</v>
      </c>
      <c r="E4" s="121">
        <v>1</v>
      </c>
      <c r="F4" s="95" t="s">
        <v>65</v>
      </c>
      <c r="G4" s="130">
        <f t="shared" si="0"/>
        <v>2.281021897810219E-2</v>
      </c>
    </row>
    <row r="5" spans="1:13" ht="14.1" customHeight="1" x14ac:dyDescent="0.25">
      <c r="A5" s="93" t="s">
        <v>67</v>
      </c>
      <c r="B5" s="93" t="s">
        <v>68</v>
      </c>
      <c r="C5" s="93"/>
      <c r="D5" s="123">
        <v>30000</v>
      </c>
      <c r="E5" s="121">
        <v>1</v>
      </c>
      <c r="F5" s="95" t="s">
        <v>65</v>
      </c>
      <c r="G5" s="130">
        <f t="shared" si="0"/>
        <v>2.7372262773722629E-2</v>
      </c>
      <c r="H5" s="33"/>
      <c r="I5" s="150" t="s">
        <v>69</v>
      </c>
      <c r="J5" s="150"/>
      <c r="K5" s="33"/>
      <c r="L5" s="150" t="s">
        <v>70</v>
      </c>
    </row>
    <row r="6" spans="1:13" ht="14.1" customHeight="1" x14ac:dyDescent="0.25">
      <c r="A6" s="93" t="s">
        <v>71</v>
      </c>
      <c r="B6" s="93" t="s">
        <v>72</v>
      </c>
      <c r="C6" s="93"/>
      <c r="D6" s="123">
        <v>2500</v>
      </c>
      <c r="E6" s="121">
        <v>1</v>
      </c>
      <c r="F6" s="95" t="s">
        <v>65</v>
      </c>
      <c r="G6" s="130">
        <f t="shared" si="0"/>
        <v>2.2810218978102188E-3</v>
      </c>
      <c r="H6" s="33"/>
      <c r="I6" s="150"/>
      <c r="J6" s="150"/>
      <c r="K6" s="33"/>
      <c r="L6" s="150"/>
    </row>
    <row r="7" spans="1:13" ht="14.1" customHeight="1" x14ac:dyDescent="0.25">
      <c r="A7" s="93" t="s">
        <v>73</v>
      </c>
      <c r="B7" s="93" t="s">
        <v>68</v>
      </c>
      <c r="C7" s="93"/>
      <c r="D7" s="123">
        <v>100000</v>
      </c>
      <c r="E7" s="121">
        <v>1</v>
      </c>
      <c r="F7" s="95" t="s">
        <v>65</v>
      </c>
      <c r="G7" s="130">
        <f t="shared" si="0"/>
        <v>9.1240875912408759E-2</v>
      </c>
      <c r="I7" s="43" t="s">
        <v>74</v>
      </c>
      <c r="J7" s="16">
        <f>SUM(D3,D4,D5,D7,D8,D9,D10,D11,D12,D13,D14,D15,D17,D18,D20,D21,D22,D23,D24,D25,D26,D27,D28)</f>
        <v>1081000</v>
      </c>
      <c r="L7" s="16"/>
    </row>
    <row r="8" spans="1:13" ht="14.1" customHeight="1" x14ac:dyDescent="0.25">
      <c r="A8" s="93" t="s">
        <v>75</v>
      </c>
      <c r="B8" s="93" t="s">
        <v>68</v>
      </c>
      <c r="C8" s="93"/>
      <c r="D8" s="123">
        <v>50000</v>
      </c>
      <c r="E8" s="121">
        <v>2</v>
      </c>
      <c r="F8" s="95" t="s">
        <v>76</v>
      </c>
      <c r="G8" s="130">
        <f t="shared" si="0"/>
        <v>4.5620437956204379E-2</v>
      </c>
      <c r="I8" s="43" t="s">
        <v>77</v>
      </c>
      <c r="J8" s="16">
        <f>8000+D19</f>
        <v>18000</v>
      </c>
      <c r="L8" s="16" t="s">
        <v>65</v>
      </c>
      <c r="M8" s="19">
        <f>SUM(D3,D4,D5,D7)</f>
        <v>185000</v>
      </c>
    </row>
    <row r="9" spans="1:13" ht="14.1" customHeight="1" x14ac:dyDescent="0.25">
      <c r="A9" s="93" t="s">
        <v>78</v>
      </c>
      <c r="B9" s="93" t="s">
        <v>68</v>
      </c>
      <c r="C9" s="93"/>
      <c r="D9" s="123">
        <v>5000</v>
      </c>
      <c r="E9" s="121">
        <v>2</v>
      </c>
      <c r="F9" s="95" t="s">
        <v>76</v>
      </c>
      <c r="G9" s="130">
        <f t="shared" si="0"/>
        <v>4.5620437956204376E-3</v>
      </c>
      <c r="I9" s="43" t="s">
        <v>72</v>
      </c>
      <c r="J9" s="16">
        <f>SUM(D6,D16)</f>
        <v>5000</v>
      </c>
      <c r="L9" s="16" t="s">
        <v>76</v>
      </c>
      <c r="M9" s="19">
        <f>D9+D8</f>
        <v>55000</v>
      </c>
    </row>
    <row r="10" spans="1:13" ht="14.1" customHeight="1" x14ac:dyDescent="0.25">
      <c r="A10" s="93" t="s">
        <v>79</v>
      </c>
      <c r="B10" s="93" t="s">
        <v>64</v>
      </c>
      <c r="C10" s="93"/>
      <c r="D10" s="123">
        <v>5000</v>
      </c>
      <c r="E10" s="121">
        <v>3</v>
      </c>
      <c r="F10" s="95" t="s">
        <v>80</v>
      </c>
      <c r="G10" s="130">
        <f t="shared" si="0"/>
        <v>4.5620437956204376E-3</v>
      </c>
      <c r="I10" s="43" t="s">
        <v>81</v>
      </c>
      <c r="J10" s="16">
        <v>0</v>
      </c>
      <c r="L10" s="16" t="s">
        <v>80</v>
      </c>
      <c r="M10" s="19">
        <f>D10+D11+D12+D13+D14+D15+D17+D18</f>
        <v>97000</v>
      </c>
    </row>
    <row r="11" spans="1:13" ht="14.1" customHeight="1" x14ac:dyDescent="0.25">
      <c r="A11" s="93" t="s">
        <v>82</v>
      </c>
      <c r="B11" s="93" t="s">
        <v>68</v>
      </c>
      <c r="C11" s="93"/>
      <c r="D11" s="123">
        <v>20000</v>
      </c>
      <c r="E11" s="121">
        <v>3</v>
      </c>
      <c r="F11" s="95" t="s">
        <v>80</v>
      </c>
      <c r="G11" s="130">
        <f t="shared" si="0"/>
        <v>1.824817518248175E-2</v>
      </c>
      <c r="I11" s="43" t="s">
        <v>83</v>
      </c>
      <c r="J11" s="16">
        <f>1500*12</f>
        <v>18000</v>
      </c>
      <c r="L11" s="16" t="s">
        <v>84</v>
      </c>
      <c r="M11" s="19">
        <f>D20+D21</f>
        <v>66000</v>
      </c>
    </row>
    <row r="12" spans="1:13" ht="14.1" customHeight="1" x14ac:dyDescent="0.25">
      <c r="A12" s="93" t="s">
        <v>85</v>
      </c>
      <c r="B12" s="93" t="s">
        <v>64</v>
      </c>
      <c r="C12" s="93"/>
      <c r="D12" s="123">
        <v>10000</v>
      </c>
      <c r="E12" s="121">
        <v>3</v>
      </c>
      <c r="F12" s="95" t="s">
        <v>80</v>
      </c>
      <c r="G12" s="130">
        <f t="shared" si="0"/>
        <v>9.1240875912408752E-3</v>
      </c>
      <c r="L12" s="16" t="s">
        <v>86</v>
      </c>
      <c r="M12" s="19"/>
    </row>
    <row r="13" spans="1:13" ht="14.1" customHeight="1" x14ac:dyDescent="0.25">
      <c r="A13" s="93" t="s">
        <v>87</v>
      </c>
      <c r="B13" s="93" t="s">
        <v>64</v>
      </c>
      <c r="C13" s="93"/>
      <c r="D13" s="123">
        <v>10000</v>
      </c>
      <c r="E13" s="121">
        <v>3</v>
      </c>
      <c r="F13" s="95" t="s">
        <v>80</v>
      </c>
      <c r="G13" s="130">
        <f t="shared" si="0"/>
        <v>9.1240875912408752E-3</v>
      </c>
      <c r="I13" s="16" t="s">
        <v>88</v>
      </c>
      <c r="J13" s="16">
        <f>SUM(J7:J11)</f>
        <v>1122000</v>
      </c>
      <c r="L13" s="16" t="s">
        <v>89</v>
      </c>
      <c r="M13" s="19">
        <f>D22</f>
        <v>200000</v>
      </c>
    </row>
    <row r="14" spans="1:13" ht="14.1" customHeight="1" x14ac:dyDescent="0.25">
      <c r="A14" s="93" t="s">
        <v>90</v>
      </c>
      <c r="B14" s="93" t="s">
        <v>68</v>
      </c>
      <c r="C14" s="93"/>
      <c r="D14" s="123">
        <v>25000</v>
      </c>
      <c r="E14" s="121">
        <v>3</v>
      </c>
      <c r="F14" s="95" t="s">
        <v>80</v>
      </c>
      <c r="G14" s="130">
        <f t="shared" si="0"/>
        <v>2.281021897810219E-2</v>
      </c>
      <c r="L14" s="16" t="s">
        <v>91</v>
      </c>
      <c r="M14" s="19">
        <f>D23</f>
        <v>50000</v>
      </c>
    </row>
    <row r="15" spans="1:13" ht="14.1" customHeight="1" x14ac:dyDescent="0.25">
      <c r="A15" s="93" t="s">
        <v>92</v>
      </c>
      <c r="B15" s="93" t="s">
        <v>64</v>
      </c>
      <c r="C15" s="93"/>
      <c r="D15" s="123">
        <v>10000</v>
      </c>
      <c r="E15" s="121">
        <v>3</v>
      </c>
      <c r="F15" s="95" t="s">
        <v>80</v>
      </c>
      <c r="G15" s="130">
        <f t="shared" si="0"/>
        <v>9.1240875912408752E-3</v>
      </c>
      <c r="J15" s="19"/>
      <c r="L15" s="16" t="s">
        <v>93</v>
      </c>
      <c r="M15" s="19"/>
    </row>
    <row r="16" spans="1:13" ht="14.1" customHeight="1" x14ac:dyDescent="0.25">
      <c r="A16" s="93" t="s">
        <v>94</v>
      </c>
      <c r="B16" s="93" t="s">
        <v>72</v>
      </c>
      <c r="C16" s="93"/>
      <c r="D16" s="123">
        <v>2500</v>
      </c>
      <c r="E16" s="121">
        <v>3</v>
      </c>
      <c r="F16" s="95" t="s">
        <v>80</v>
      </c>
      <c r="G16" s="130">
        <f t="shared" si="0"/>
        <v>2.2810218978102188E-3</v>
      </c>
      <c r="L16" s="16" t="s">
        <v>95</v>
      </c>
      <c r="M16" s="19">
        <f>D24+D25</f>
        <v>375000</v>
      </c>
    </row>
    <row r="17" spans="1:15" ht="14.1" customHeight="1" x14ac:dyDescent="0.25">
      <c r="A17" s="93" t="s">
        <v>96</v>
      </c>
      <c r="B17" s="93" t="s">
        <v>64</v>
      </c>
      <c r="C17" s="93"/>
      <c r="D17" s="123">
        <v>10000</v>
      </c>
      <c r="E17" s="121">
        <v>3</v>
      </c>
      <c r="F17" s="95" t="s">
        <v>80</v>
      </c>
      <c r="G17" s="130">
        <f t="shared" si="0"/>
        <v>9.1240875912408752E-3</v>
      </c>
      <c r="L17" s="16" t="s">
        <v>97</v>
      </c>
      <c r="M17" s="19"/>
    </row>
    <row r="18" spans="1:15" ht="14.1" customHeight="1" x14ac:dyDescent="0.25">
      <c r="A18" s="93" t="s">
        <v>98</v>
      </c>
      <c r="B18" s="93" t="s">
        <v>99</v>
      </c>
      <c r="C18" s="93"/>
      <c r="D18" s="123">
        <v>7000</v>
      </c>
      <c r="E18" s="121">
        <v>3</v>
      </c>
      <c r="F18" s="95" t="s">
        <v>80</v>
      </c>
      <c r="G18" s="130">
        <f t="shared" si="0"/>
        <v>6.3868613138686131E-3</v>
      </c>
      <c r="L18" s="16" t="s">
        <v>100</v>
      </c>
      <c r="M18" s="19">
        <f>D26</f>
        <v>10000</v>
      </c>
    </row>
    <row r="19" spans="1:15" ht="14.1" customHeight="1" x14ac:dyDescent="0.25">
      <c r="A19" s="93" t="s">
        <v>101</v>
      </c>
      <c r="B19" s="93" t="s">
        <v>102</v>
      </c>
      <c r="C19" s="93"/>
      <c r="D19" s="123">
        <v>10000</v>
      </c>
      <c r="E19" s="121">
        <v>3</v>
      </c>
      <c r="F19" s="95" t="s">
        <v>80</v>
      </c>
      <c r="G19" s="130">
        <f t="shared" si="0"/>
        <v>9.1240875912408752E-3</v>
      </c>
      <c r="L19" s="16" t="s">
        <v>103</v>
      </c>
      <c r="M19" s="19">
        <f>D27+D28</f>
        <v>43000</v>
      </c>
    </row>
    <row r="20" spans="1:15" ht="14.1" customHeight="1" x14ac:dyDescent="0.25">
      <c r="A20" s="93" t="s">
        <v>104</v>
      </c>
      <c r="B20" s="93" t="s">
        <v>64</v>
      </c>
      <c r="C20" s="93" t="s">
        <v>105</v>
      </c>
      <c r="D20" s="123">
        <v>60000</v>
      </c>
      <c r="E20" s="121">
        <v>4</v>
      </c>
      <c r="F20" s="95" t="s">
        <v>84</v>
      </c>
      <c r="G20" s="130">
        <f t="shared" si="0"/>
        <v>5.4744525547445258E-2</v>
      </c>
      <c r="M20" s="19"/>
    </row>
    <row r="21" spans="1:15" ht="14.1" customHeight="1" x14ac:dyDescent="0.25">
      <c r="A21" s="93" t="s">
        <v>104</v>
      </c>
      <c r="B21" s="93" t="s">
        <v>99</v>
      </c>
      <c r="C21" s="93" t="s">
        <v>106</v>
      </c>
      <c r="D21" s="123">
        <v>6000</v>
      </c>
      <c r="E21" s="121">
        <v>4</v>
      </c>
      <c r="F21" s="95" t="s">
        <v>84</v>
      </c>
      <c r="G21" s="130">
        <f t="shared" si="0"/>
        <v>5.4744525547445258E-3</v>
      </c>
      <c r="L21" s="16" t="s">
        <v>88</v>
      </c>
      <c r="M21" s="19">
        <f>SUM(M8:M19)</f>
        <v>1081000</v>
      </c>
      <c r="N21" s="19"/>
      <c r="O21" s="19"/>
    </row>
    <row r="22" spans="1:15" ht="14.1" customHeight="1" x14ac:dyDescent="0.25">
      <c r="A22" s="93" t="s">
        <v>104</v>
      </c>
      <c r="B22" s="93" t="s">
        <v>64</v>
      </c>
      <c r="C22" s="93"/>
      <c r="D22" s="123">
        <v>200000</v>
      </c>
      <c r="E22" s="121">
        <v>6</v>
      </c>
      <c r="F22" s="95" t="s">
        <v>89</v>
      </c>
      <c r="G22" s="130">
        <f t="shared" si="0"/>
        <v>0.18248175182481752</v>
      </c>
    </row>
    <row r="23" spans="1:15" ht="14.1" customHeight="1" x14ac:dyDescent="0.25">
      <c r="A23" s="93" t="s">
        <v>107</v>
      </c>
      <c r="B23" s="93" t="s">
        <v>68</v>
      </c>
      <c r="C23" s="93"/>
      <c r="D23" s="123">
        <v>50000</v>
      </c>
      <c r="E23" s="121">
        <v>7</v>
      </c>
      <c r="F23" s="95" t="s">
        <v>91</v>
      </c>
      <c r="G23" s="130">
        <f t="shared" si="0"/>
        <v>4.5620437956204379E-2</v>
      </c>
      <c r="H23" s="13"/>
      <c r="I23" s="35"/>
      <c r="J23" s="13"/>
      <c r="K23" s="13"/>
    </row>
    <row r="24" spans="1:15" ht="14.1" customHeight="1" x14ac:dyDescent="0.25">
      <c r="A24" s="93" t="s">
        <v>108</v>
      </c>
      <c r="B24" s="93" t="s">
        <v>64</v>
      </c>
      <c r="C24" s="93"/>
      <c r="D24" s="123">
        <v>325000</v>
      </c>
      <c r="E24" s="121">
        <v>9</v>
      </c>
      <c r="F24" s="95" t="s">
        <v>95</v>
      </c>
      <c r="G24" s="130">
        <f t="shared" si="0"/>
        <v>0.29653284671532848</v>
      </c>
      <c r="H24" s="13"/>
      <c r="J24" s="35"/>
      <c r="K24" s="13"/>
    </row>
    <row r="25" spans="1:15" ht="14.1" customHeight="1" x14ac:dyDescent="0.25">
      <c r="A25" s="93" t="s">
        <v>109</v>
      </c>
      <c r="B25" s="93" t="s">
        <v>64</v>
      </c>
      <c r="C25" s="93"/>
      <c r="D25" s="123">
        <v>50000</v>
      </c>
      <c r="E25" s="121">
        <v>9</v>
      </c>
      <c r="F25" s="95" t="s">
        <v>95</v>
      </c>
      <c r="G25" s="130">
        <f t="shared" si="0"/>
        <v>4.5620437956204379E-2</v>
      </c>
      <c r="H25" s="13"/>
      <c r="I25" s="13"/>
      <c r="J25" s="13"/>
      <c r="K25" s="13"/>
    </row>
    <row r="26" spans="1:15" ht="14.1" customHeight="1" x14ac:dyDescent="0.25">
      <c r="A26" s="93" t="s">
        <v>110</v>
      </c>
      <c r="B26" s="93" t="s">
        <v>64</v>
      </c>
      <c r="C26" s="93"/>
      <c r="D26" s="123">
        <v>10000</v>
      </c>
      <c r="E26" s="121">
        <v>11</v>
      </c>
      <c r="F26" s="95" t="s">
        <v>100</v>
      </c>
      <c r="G26" s="130">
        <f t="shared" si="0"/>
        <v>9.1240875912408752E-3</v>
      </c>
      <c r="H26" s="13"/>
      <c r="I26" s="13"/>
      <c r="J26" s="13"/>
      <c r="K26" s="13"/>
    </row>
    <row r="27" spans="1:15" ht="14.1" customHeight="1" x14ac:dyDescent="0.25">
      <c r="A27" s="93" t="s">
        <v>111</v>
      </c>
      <c r="B27" s="93" t="s">
        <v>64</v>
      </c>
      <c r="C27" s="93"/>
      <c r="D27" s="123">
        <v>40000</v>
      </c>
      <c r="E27" s="121">
        <v>12</v>
      </c>
      <c r="F27" s="95" t="s">
        <v>103</v>
      </c>
      <c r="G27" s="130">
        <f t="shared" si="0"/>
        <v>3.6496350364963501E-2</v>
      </c>
      <c r="H27" s="13"/>
      <c r="I27" s="13"/>
      <c r="J27" s="13"/>
      <c r="K27" s="13"/>
    </row>
    <row r="28" spans="1:15" ht="14.1" customHeight="1" x14ac:dyDescent="0.25">
      <c r="A28" s="93" t="s">
        <v>112</v>
      </c>
      <c r="B28" s="93" t="s">
        <v>68</v>
      </c>
      <c r="C28" s="93"/>
      <c r="D28" s="123">
        <v>3000</v>
      </c>
      <c r="E28" s="121">
        <v>12</v>
      </c>
      <c r="F28" s="95" t="s">
        <v>103</v>
      </c>
      <c r="G28" s="130">
        <f t="shared" si="0"/>
        <v>2.7372262773722629E-3</v>
      </c>
      <c r="H28" s="13"/>
      <c r="I28" s="13"/>
      <c r="J28" s="13"/>
      <c r="K28" s="13"/>
    </row>
    <row r="29" spans="1:15" ht="14.1" customHeight="1" x14ac:dyDescent="0.25">
      <c r="A29" s="93"/>
      <c r="B29" s="93"/>
      <c r="C29" s="93"/>
      <c r="D29" s="123"/>
      <c r="E29" s="121"/>
      <c r="F29" s="95"/>
      <c r="G29" s="95"/>
      <c r="H29" s="13"/>
      <c r="I29" s="13"/>
      <c r="J29" s="13"/>
      <c r="K29" s="13"/>
    </row>
    <row r="30" spans="1:15" x14ac:dyDescent="0.25">
      <c r="D30" s="19"/>
      <c r="H30" s="13"/>
      <c r="I30" s="13"/>
      <c r="J30" s="13"/>
      <c r="K30" s="13"/>
    </row>
    <row r="31" spans="1:15" x14ac:dyDescent="0.25">
      <c r="B31" s="13" t="s">
        <v>113</v>
      </c>
      <c r="D31" s="124">
        <f>SUM(D3,D4,D5,D7,D8,D9,D10,D11,D12,D13,D14,D15,D17,D18,D20,D21,D22,D23,D24,D25,D26,D27,D28)</f>
        <v>1081000</v>
      </c>
      <c r="H31" s="13"/>
      <c r="I31" s="13" t="s">
        <v>114</v>
      </c>
      <c r="J31" s="35">
        <f>SUM(D3,D4,D10,D12,D13,D15,D17,D18,D20,D21,D22,D24,D25,D26,D27)</f>
        <v>798000</v>
      </c>
      <c r="K31" s="13"/>
    </row>
    <row r="32" spans="1:15" ht="14.1" customHeight="1" x14ac:dyDescent="0.25">
      <c r="B32" s="13" t="s">
        <v>115</v>
      </c>
      <c r="D32" s="125">
        <f>SUM(D3:D30)</f>
        <v>1096000</v>
      </c>
      <c r="E32" s="120"/>
      <c r="H32" s="13"/>
      <c r="I32" s="13" t="s">
        <v>116</v>
      </c>
      <c r="J32" s="35">
        <f>SUM(D5,D7,D8,D9,D11,D14,D23,D28)</f>
        <v>283000</v>
      </c>
      <c r="K32" s="13"/>
    </row>
    <row r="33" spans="1:11" ht="14.1" customHeight="1" x14ac:dyDescent="0.25">
      <c r="H33" s="13"/>
      <c r="I33" s="13"/>
      <c r="J33" s="13"/>
      <c r="K33" s="13"/>
    </row>
    <row r="34" spans="1:11" ht="14.1" customHeight="1" x14ac:dyDescent="0.25">
      <c r="F34" s="17"/>
      <c r="G34" s="17"/>
      <c r="H34" s="13"/>
      <c r="I34" s="13"/>
      <c r="J34" s="35">
        <f>SUM(J31:J32)</f>
        <v>1081000</v>
      </c>
      <c r="K34" s="13"/>
    </row>
    <row r="35" spans="1:11" ht="14.1" customHeight="1" x14ac:dyDescent="0.25">
      <c r="F35" s="17"/>
      <c r="G35" s="17"/>
      <c r="H35" s="13"/>
      <c r="I35" s="13"/>
      <c r="J35" s="13"/>
      <c r="K35" s="13"/>
    </row>
    <row r="36" spans="1:11" ht="14.1" customHeight="1" x14ac:dyDescent="0.25">
      <c r="D36" s="35"/>
      <c r="E36" s="122"/>
      <c r="H36" s="13"/>
      <c r="I36" s="13"/>
      <c r="J36" s="13"/>
      <c r="K36" s="13"/>
    </row>
    <row r="37" spans="1:11" ht="14.1" customHeight="1" x14ac:dyDescent="0.25">
      <c r="D37" s="35"/>
      <c r="E37" s="122"/>
      <c r="H37" s="13"/>
      <c r="I37" s="13"/>
      <c r="J37" s="13"/>
      <c r="K37" s="13"/>
    </row>
    <row r="38" spans="1:11" ht="17.25" customHeight="1" x14ac:dyDescent="0.25">
      <c r="A38" s="20" t="s">
        <v>117</v>
      </c>
      <c r="B38" s="20" t="s">
        <v>57</v>
      </c>
      <c r="D38" s="21" t="s">
        <v>59</v>
      </c>
      <c r="E38" s="122"/>
      <c r="H38" s="13"/>
      <c r="I38" s="13"/>
      <c r="J38" s="13"/>
      <c r="K38" s="13"/>
    </row>
    <row r="39" spans="1:11" ht="14.1" customHeight="1" x14ac:dyDescent="0.25">
      <c r="A39" s="126" t="s">
        <v>118</v>
      </c>
      <c r="B39" s="13" t="s">
        <v>119</v>
      </c>
      <c r="D39" s="19">
        <v>15000</v>
      </c>
    </row>
    <row r="40" spans="1:11" ht="14.1" customHeight="1" x14ac:dyDescent="0.25">
      <c r="A40" s="126" t="s">
        <v>120</v>
      </c>
      <c r="B40" s="13" t="s">
        <v>119</v>
      </c>
      <c r="D40" s="19">
        <v>5000</v>
      </c>
    </row>
    <row r="41" spans="1:11" x14ac:dyDescent="0.25">
      <c r="A41" s="127" t="s">
        <v>121</v>
      </c>
      <c r="B41" s="16" t="s">
        <v>119</v>
      </c>
      <c r="D41" s="19">
        <v>5000</v>
      </c>
      <c r="E41" s="13"/>
      <c r="H41" s="13"/>
      <c r="I41" s="13"/>
      <c r="J41" s="13"/>
      <c r="K41" s="13"/>
    </row>
    <row r="42" spans="1:11" x14ac:dyDescent="0.25">
      <c r="A42" s="127" t="s">
        <v>122</v>
      </c>
      <c r="B42" s="16" t="s">
        <v>119</v>
      </c>
      <c r="D42" s="19">
        <v>5000</v>
      </c>
      <c r="E42" s="13"/>
      <c r="H42" s="13"/>
      <c r="I42" s="13"/>
      <c r="J42" s="13"/>
      <c r="K42" s="13"/>
    </row>
    <row r="43" spans="1:11" x14ac:dyDescent="0.25">
      <c r="A43" s="127" t="s">
        <v>123</v>
      </c>
      <c r="B43" s="16" t="s">
        <v>119</v>
      </c>
      <c r="D43" s="19">
        <v>10000</v>
      </c>
      <c r="E43" s="13"/>
      <c r="H43" s="13"/>
      <c r="I43" s="13"/>
      <c r="J43" s="13"/>
      <c r="K43" s="13"/>
    </row>
    <row r="44" spans="1:11" x14ac:dyDescent="0.25">
      <c r="A44" s="127" t="s">
        <v>124</v>
      </c>
      <c r="B44" s="16" t="s">
        <v>119</v>
      </c>
      <c r="D44" s="19">
        <v>33000</v>
      </c>
      <c r="E44" s="13"/>
      <c r="H44" s="13"/>
      <c r="I44" s="13"/>
      <c r="J44" s="13"/>
      <c r="K44" s="13"/>
    </row>
    <row r="45" spans="1:11" x14ac:dyDescent="0.25">
      <c r="A45" s="151" t="s">
        <v>125</v>
      </c>
      <c r="B45" s="151"/>
      <c r="D45" s="131">
        <f>SUM(D39:D44)</f>
        <v>73000</v>
      </c>
      <c r="E45" s="13"/>
      <c r="H45" s="13"/>
      <c r="I45" s="13"/>
      <c r="J45" s="13"/>
      <c r="K45" s="13"/>
    </row>
    <row r="46" spans="1:11" x14ac:dyDescent="0.25">
      <c r="A46" s="128" t="s">
        <v>126</v>
      </c>
      <c r="B46" s="16" t="s">
        <v>119</v>
      </c>
      <c r="D46" s="19">
        <v>10000</v>
      </c>
      <c r="E46" s="13"/>
      <c r="H46" s="13"/>
      <c r="I46" s="13"/>
      <c r="J46" s="13"/>
      <c r="K46" s="13"/>
    </row>
    <row r="47" spans="1:11" x14ac:dyDescent="0.25">
      <c r="A47" s="128" t="s">
        <v>127</v>
      </c>
      <c r="B47" s="16" t="s">
        <v>119</v>
      </c>
      <c r="D47" s="19">
        <v>5000</v>
      </c>
      <c r="E47" s="13"/>
      <c r="H47" s="13"/>
      <c r="I47" s="13"/>
      <c r="J47" s="13"/>
      <c r="K47" s="13"/>
    </row>
    <row r="48" spans="1:11" x14ac:dyDescent="0.25">
      <c r="A48" s="128" t="s">
        <v>128</v>
      </c>
      <c r="B48" s="16" t="s">
        <v>119</v>
      </c>
      <c r="D48" s="19">
        <v>5000</v>
      </c>
      <c r="E48" s="13"/>
      <c r="H48" s="13"/>
      <c r="I48" s="13"/>
      <c r="J48" s="13"/>
      <c r="K48" s="13"/>
    </row>
    <row r="49" spans="1:11" x14ac:dyDescent="0.25">
      <c r="A49" s="128" t="s">
        <v>129</v>
      </c>
      <c r="B49" s="16" t="s">
        <v>119</v>
      </c>
      <c r="D49" s="19">
        <v>5000</v>
      </c>
      <c r="E49" s="13"/>
      <c r="H49" s="13"/>
      <c r="I49" s="13"/>
      <c r="J49" s="13"/>
      <c r="K49" s="13"/>
    </row>
    <row r="50" spans="1:11" x14ac:dyDescent="0.25">
      <c r="A50" s="129" t="s">
        <v>130</v>
      </c>
      <c r="B50" s="93" t="s">
        <v>119</v>
      </c>
      <c r="C50" s="93"/>
      <c r="D50" s="123">
        <v>100000</v>
      </c>
      <c r="E50" s="121"/>
      <c r="F50" s="95"/>
      <c r="G50" s="95"/>
    </row>
    <row r="51" spans="1:11" x14ac:dyDescent="0.25">
      <c r="A51" s="152" t="s">
        <v>131</v>
      </c>
      <c r="B51" s="152"/>
      <c r="C51" s="93"/>
      <c r="D51" s="132">
        <f>SUM(D46:D50)</f>
        <v>125000</v>
      </c>
      <c r="E51" s="121"/>
      <c r="F51" s="95"/>
      <c r="G51" s="95"/>
    </row>
    <row r="52" spans="1:11" x14ac:dyDescent="0.25">
      <c r="A52" s="93"/>
      <c r="B52" s="93"/>
      <c r="C52" s="93"/>
      <c r="D52" s="94"/>
      <c r="E52" s="121"/>
      <c r="F52" s="95"/>
      <c r="G52" s="95"/>
    </row>
    <row r="53" spans="1:11" x14ac:dyDescent="0.25">
      <c r="E53" s="13"/>
      <c r="H53" s="13"/>
      <c r="I53" s="13"/>
      <c r="J53" s="13"/>
      <c r="K53" s="13"/>
    </row>
    <row r="54" spans="1:11" x14ac:dyDescent="0.25">
      <c r="A54" s="13" t="s">
        <v>132</v>
      </c>
      <c r="E54" s="13"/>
      <c r="H54" s="13"/>
      <c r="I54" s="13"/>
      <c r="J54" s="13"/>
      <c r="K54" s="13"/>
    </row>
    <row r="55" spans="1:11" x14ac:dyDescent="0.25">
      <c r="A55" s="13" t="s">
        <v>133</v>
      </c>
      <c r="E55" s="13"/>
      <c r="H55" s="13"/>
      <c r="I55" s="13"/>
      <c r="J55" s="13"/>
      <c r="K55" s="13"/>
    </row>
    <row r="56" spans="1:11" x14ac:dyDescent="0.25">
      <c r="E56" s="13"/>
      <c r="H56" s="13"/>
      <c r="I56" s="13"/>
      <c r="J56" s="13"/>
      <c r="K56" s="13"/>
    </row>
    <row r="57" spans="1:11" x14ac:dyDescent="0.25">
      <c r="E57" s="13"/>
      <c r="H57" s="13"/>
      <c r="I57" s="13"/>
      <c r="J57" s="13"/>
      <c r="K57" s="13"/>
    </row>
    <row r="58" spans="1:11" ht="14.1" customHeight="1" x14ac:dyDescent="0.25">
      <c r="E58" s="13"/>
      <c r="H58" s="13"/>
      <c r="I58" s="13"/>
      <c r="J58" s="13"/>
      <c r="K58" s="13"/>
    </row>
    <row r="59" spans="1:11" ht="14.1" customHeight="1" x14ac:dyDescent="0.25">
      <c r="E59" s="13"/>
      <c r="H59" s="13"/>
      <c r="I59" s="13"/>
      <c r="J59" s="13"/>
      <c r="K59" s="13"/>
    </row>
    <row r="60" spans="1:11" ht="14.1" customHeight="1" x14ac:dyDescent="0.25">
      <c r="E60" s="13"/>
      <c r="H60" s="13"/>
      <c r="I60" s="13"/>
      <c r="J60" s="13"/>
      <c r="K60" s="13"/>
    </row>
    <row r="61" spans="1:11" ht="14.1" customHeight="1" x14ac:dyDescent="0.25">
      <c r="E61" s="13"/>
      <c r="H61" s="13"/>
      <c r="I61" s="13"/>
      <c r="J61" s="13"/>
      <c r="K61" s="13"/>
    </row>
    <row r="62" spans="1:11" ht="14.1" customHeight="1" x14ac:dyDescent="0.25">
      <c r="E62" s="13"/>
      <c r="H62" s="13"/>
      <c r="I62" s="13"/>
      <c r="J62" s="13"/>
      <c r="K62" s="13"/>
    </row>
    <row r="63" spans="1:11" ht="14.1" customHeight="1" x14ac:dyDescent="0.25">
      <c r="E63" s="13"/>
      <c r="H63" s="13"/>
      <c r="I63" s="13"/>
      <c r="J63" s="13"/>
      <c r="K63" s="13"/>
    </row>
    <row r="64" spans="1:11" ht="14.1" customHeight="1" x14ac:dyDescent="0.25">
      <c r="E64" s="13"/>
      <c r="H64" s="13"/>
      <c r="I64" s="13"/>
      <c r="J64" s="13"/>
      <c r="K64" s="13"/>
    </row>
    <row r="65" s="13" customFormat="1" ht="14.1" customHeight="1" x14ac:dyDescent="0.25"/>
    <row r="66" s="13" customFormat="1" ht="14.1" customHeight="1" x14ac:dyDescent="0.25"/>
    <row r="67" s="13" customFormat="1" ht="14.1" customHeight="1" x14ac:dyDescent="0.25"/>
    <row r="68" s="13" customFormat="1" ht="14.1" customHeight="1" x14ac:dyDescent="0.25"/>
    <row r="69" s="13" customFormat="1" ht="14.1" customHeight="1" x14ac:dyDescent="0.25"/>
    <row r="70" s="13" customFormat="1" ht="14.1" customHeight="1" x14ac:dyDescent="0.25"/>
    <row r="71" s="13" customFormat="1" ht="14.1" customHeight="1" x14ac:dyDescent="0.25"/>
    <row r="72" s="13" customFormat="1" ht="14.1" customHeight="1" x14ac:dyDescent="0.25"/>
    <row r="73" s="13" customFormat="1" ht="14.1" customHeight="1" x14ac:dyDescent="0.25"/>
    <row r="74" s="13" customFormat="1" ht="14.1" customHeight="1" x14ac:dyDescent="0.25"/>
    <row r="75" s="13" customFormat="1" ht="14.1" customHeight="1" x14ac:dyDescent="0.25"/>
    <row r="76" s="13" customFormat="1" ht="14.1" customHeight="1" x14ac:dyDescent="0.25"/>
    <row r="77" s="13" customFormat="1" ht="14.1" customHeight="1" x14ac:dyDescent="0.25"/>
    <row r="78" s="13" customFormat="1" ht="14.1" customHeight="1" x14ac:dyDescent="0.25"/>
    <row r="79" s="13" customFormat="1" ht="14.1" customHeight="1" x14ac:dyDescent="0.25"/>
    <row r="80" s="13" customFormat="1" ht="14.1" customHeight="1" x14ac:dyDescent="0.25"/>
    <row r="81" s="13" customFormat="1" ht="14.1" customHeight="1" x14ac:dyDescent="0.25"/>
    <row r="82" s="13" customFormat="1" ht="14.1" customHeight="1" x14ac:dyDescent="0.25"/>
    <row r="83" s="13" customFormat="1" ht="14.1" customHeight="1" x14ac:dyDescent="0.25"/>
    <row r="84" s="13" customFormat="1" ht="14.1" customHeight="1" x14ac:dyDescent="0.25"/>
    <row r="85" s="13" customFormat="1" ht="14.1" customHeight="1" x14ac:dyDescent="0.25"/>
    <row r="86" s="13" customFormat="1" ht="14.1" customHeight="1" x14ac:dyDescent="0.25"/>
    <row r="87" s="13" customFormat="1" ht="14.1" customHeight="1" x14ac:dyDescent="0.25"/>
    <row r="88" s="13" customFormat="1" ht="14.1" customHeight="1" x14ac:dyDescent="0.25"/>
    <row r="89" s="13" customFormat="1" ht="14.1" customHeight="1" x14ac:dyDescent="0.25"/>
    <row r="90" s="13" customFormat="1" ht="14.1" customHeight="1" x14ac:dyDescent="0.25"/>
    <row r="91" s="13" customFormat="1" ht="14.1" customHeight="1" x14ac:dyDescent="0.25"/>
    <row r="92" s="13" customFormat="1" ht="14.1" customHeight="1" x14ac:dyDescent="0.25"/>
    <row r="93" s="13" customFormat="1" ht="14.1" customHeight="1" x14ac:dyDescent="0.25"/>
    <row r="94" s="13" customFormat="1" ht="14.1" customHeight="1" x14ac:dyDescent="0.25"/>
    <row r="95" s="13" customFormat="1" ht="14.1" customHeight="1" x14ac:dyDescent="0.25"/>
    <row r="96" s="13" customFormat="1" ht="14.1" customHeight="1" x14ac:dyDescent="0.25"/>
    <row r="97" spans="1:2" ht="14.1" customHeight="1" x14ac:dyDescent="0.25">
      <c r="A97" s="93"/>
      <c r="B97" s="94"/>
    </row>
    <row r="98" spans="1:2" ht="14.1" customHeight="1" x14ac:dyDescent="0.25">
      <c r="A98" s="97"/>
      <c r="B98" s="98"/>
    </row>
    <row r="99" spans="1:2" ht="14.1" customHeight="1" x14ac:dyDescent="0.25"/>
    <row r="100" spans="1:2" ht="14.1" customHeight="1" x14ac:dyDescent="0.25"/>
    <row r="101" spans="1:2" ht="14.1" customHeight="1" x14ac:dyDescent="0.25"/>
    <row r="102" spans="1:2" ht="14.1" customHeight="1" x14ac:dyDescent="0.25"/>
  </sheetData>
  <autoFilter ref="A2:G28" xr:uid="{00000000-0001-0000-0100-000000000000}">
    <sortState xmlns:xlrd2="http://schemas.microsoft.com/office/spreadsheetml/2017/richdata2" ref="A3:G28">
      <sortCondition ref="E2:E28"/>
    </sortState>
  </autoFilter>
  <mergeCells count="4">
    <mergeCell ref="I5:J6"/>
    <mergeCell ref="L5:L6"/>
    <mergeCell ref="A45:B45"/>
    <mergeCell ref="A51:B51"/>
  </mergeCells>
  <phoneticPr fontId="2" type="noConversion"/>
  <pageMargins left="0.75" right="0.75" top="1" bottom="0.5" header="0.5" footer="0.5"/>
  <pageSetup scale="45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W114"/>
  <sheetViews>
    <sheetView topLeftCell="A40" zoomScaleNormal="100" workbookViewId="0">
      <selection activeCell="A80" sqref="A80"/>
    </sheetView>
  </sheetViews>
  <sheetFormatPr defaultColWidth="9.109375" defaultRowHeight="13.8" x14ac:dyDescent="0.3"/>
  <cols>
    <col min="1" max="1" width="52" style="1" customWidth="1"/>
    <col min="2" max="2" width="38.6640625" style="1" customWidth="1"/>
    <col min="3" max="3" width="13.33203125" style="1" bestFit="1" customWidth="1"/>
    <col min="4" max="4" width="12.6640625" style="1" bestFit="1" customWidth="1"/>
    <col min="5" max="6" width="26.44140625" style="1" bestFit="1" customWidth="1"/>
    <col min="7" max="7" width="26" style="1" bestFit="1" customWidth="1"/>
    <col min="8" max="8" width="14.33203125" style="1" bestFit="1" customWidth="1"/>
    <col min="9" max="9" width="14.109375" style="1" bestFit="1" customWidth="1"/>
    <col min="10" max="10" width="13" style="1" customWidth="1"/>
    <col min="11" max="11" width="16.109375" style="1" customWidth="1"/>
    <col min="12" max="12" width="18.6640625" style="1" customWidth="1"/>
    <col min="13" max="13" width="19.109375" style="1" bestFit="1" customWidth="1"/>
    <col min="14" max="14" width="12.33203125" style="1" customWidth="1"/>
    <col min="15" max="15" width="9.109375" style="1" customWidth="1"/>
    <col min="16" max="21" width="9.109375" style="1"/>
    <col min="22" max="22" width="7.88671875" style="1" bestFit="1" customWidth="1"/>
    <col min="23" max="23" width="11.88671875" style="1" bestFit="1" customWidth="1"/>
    <col min="24" max="24" width="18.44140625" style="1" bestFit="1" customWidth="1"/>
    <col min="25" max="25" width="16.88671875" style="1" bestFit="1" customWidth="1"/>
    <col min="26" max="16384" width="9.109375" style="1"/>
  </cols>
  <sheetData>
    <row r="1" spans="1:12" ht="14.4" x14ac:dyDescent="0.3">
      <c r="A1" s="6" t="s">
        <v>134</v>
      </c>
      <c r="L1" s="2"/>
    </row>
    <row r="2" spans="1:12" ht="27.6" x14ac:dyDescent="0.3">
      <c r="A2" s="31"/>
      <c r="B2" s="28" t="s">
        <v>135</v>
      </c>
      <c r="C2" s="28" t="s">
        <v>136</v>
      </c>
      <c r="D2" s="28" t="s">
        <v>137</v>
      </c>
      <c r="E2" s="28" t="s">
        <v>138</v>
      </c>
      <c r="F2" s="28" t="s">
        <v>139</v>
      </c>
      <c r="G2" s="28" t="s">
        <v>140</v>
      </c>
    </row>
    <row r="3" spans="1:12" x14ac:dyDescent="0.3">
      <c r="A3" s="3" t="s">
        <v>296</v>
      </c>
      <c r="B3" s="7">
        <f t="shared" ref="B3:B4" si="0">PRODUCT(B41,0.0145)</f>
        <v>2433.9065625000003</v>
      </c>
      <c r="C3" s="7">
        <f t="shared" ref="C3:C5" si="1">PRODUCT(B41,0.062)</f>
        <v>10407.04875</v>
      </c>
      <c r="D3" s="7">
        <f>SUM(B3:C3)</f>
        <v>12840.9553125</v>
      </c>
      <c r="E3" s="7">
        <f>D3/26</f>
        <v>493.88289663461541</v>
      </c>
      <c r="F3" s="7">
        <f t="shared" ref="F3:F5" si="2">(B41*0.03)+((B41*0.02)/2)</f>
        <v>6714.2250000000004</v>
      </c>
      <c r="G3" s="7">
        <f>F3/12</f>
        <v>559.51875000000007</v>
      </c>
    </row>
    <row r="4" spans="1:12" x14ac:dyDescent="0.3">
      <c r="A4" s="3" t="s">
        <v>297</v>
      </c>
      <c r="B4" s="7">
        <f t="shared" si="0"/>
        <v>852.6</v>
      </c>
      <c r="C4" s="7">
        <f t="shared" si="1"/>
        <v>3645.6</v>
      </c>
      <c r="D4" s="7">
        <f t="shared" ref="D4:D14" si="3">SUM(B4:C4)</f>
        <v>4498.2</v>
      </c>
      <c r="E4" s="7">
        <f t="shared" ref="E4:E14" si="4">D4/26</f>
        <v>173.00769230769231</v>
      </c>
      <c r="F4" s="7">
        <f t="shared" si="2"/>
        <v>2352</v>
      </c>
      <c r="G4" s="7">
        <f t="shared" ref="G4:G14" si="5">F4/12</f>
        <v>196</v>
      </c>
    </row>
    <row r="5" spans="1:12" x14ac:dyDescent="0.3">
      <c r="A5" s="3" t="s">
        <v>141</v>
      </c>
      <c r="B5" s="7">
        <f t="shared" ref="B5:B13" si="6">PRODUCT(B43,0.0145)</f>
        <v>1522.5</v>
      </c>
      <c r="C5" s="7">
        <f t="shared" si="1"/>
        <v>6510</v>
      </c>
      <c r="D5" s="7">
        <f t="shared" si="3"/>
        <v>8032.5</v>
      </c>
      <c r="E5" s="7">
        <f t="shared" si="4"/>
        <v>308.94230769230768</v>
      </c>
      <c r="F5" s="7">
        <f t="shared" si="2"/>
        <v>4200</v>
      </c>
      <c r="G5" s="7">
        <f t="shared" si="5"/>
        <v>350</v>
      </c>
    </row>
    <row r="6" spans="1:12" x14ac:dyDescent="0.3">
      <c r="A6" s="3" t="s">
        <v>298</v>
      </c>
      <c r="B6" s="7">
        <f t="shared" si="6"/>
        <v>1065.75</v>
      </c>
      <c r="C6" s="7">
        <f t="shared" ref="C6:C12" si="7">PRODUCT(B44,0.062)</f>
        <v>4557</v>
      </c>
      <c r="D6" s="7">
        <f t="shared" si="3"/>
        <v>5622.75</v>
      </c>
      <c r="E6" s="7">
        <f t="shared" si="4"/>
        <v>216.25961538461539</v>
      </c>
      <c r="F6" s="7">
        <f>(B44*0.03)+((B44*0.02)/2)</f>
        <v>2940</v>
      </c>
      <c r="G6" s="7">
        <f t="shared" si="5"/>
        <v>245</v>
      </c>
    </row>
    <row r="7" spans="1:12" x14ac:dyDescent="0.3">
      <c r="A7" s="3" t="s">
        <v>142</v>
      </c>
      <c r="B7" s="7">
        <f t="shared" si="6"/>
        <v>1129.55</v>
      </c>
      <c r="C7" s="7">
        <f t="shared" si="7"/>
        <v>4829.8</v>
      </c>
      <c r="D7" s="7">
        <f t="shared" si="3"/>
        <v>5959.35</v>
      </c>
      <c r="E7" s="7">
        <f t="shared" si="4"/>
        <v>229.20576923076925</v>
      </c>
      <c r="F7" s="7">
        <f t="shared" ref="F7:F13" si="8">(B45*0.03)+((B45*0.02)/2)</f>
        <v>3116</v>
      </c>
      <c r="G7" s="7">
        <f t="shared" si="5"/>
        <v>259.66666666666669</v>
      </c>
    </row>
    <row r="8" spans="1:12" x14ac:dyDescent="0.3">
      <c r="A8" s="15" t="s">
        <v>161</v>
      </c>
      <c r="B8" s="7">
        <f>PRODUCT(B46,0.0145)</f>
        <v>326.25</v>
      </c>
      <c r="C8" s="7">
        <f>PRODUCT(B46,0.062)</f>
        <v>1395</v>
      </c>
      <c r="D8" s="7">
        <f>SUM(B8:C8)</f>
        <v>1721.25</v>
      </c>
      <c r="E8" s="7">
        <f>D8/3</f>
        <v>573.75</v>
      </c>
      <c r="F8" s="7">
        <f>(B46*0.03)+((B46*0.02)/2)</f>
        <v>900</v>
      </c>
      <c r="G8" s="7">
        <f>F8/3</f>
        <v>300</v>
      </c>
      <c r="H8" s="138"/>
    </row>
    <row r="9" spans="1:12" x14ac:dyDescent="0.3">
      <c r="A9" s="3" t="s">
        <v>162</v>
      </c>
      <c r="B9" s="7">
        <f t="shared" si="6"/>
        <v>1160</v>
      </c>
      <c r="C9" s="7">
        <f t="shared" si="7"/>
        <v>4960</v>
      </c>
      <c r="D9" s="7">
        <f t="shared" si="3"/>
        <v>6120</v>
      </c>
      <c r="E9" s="7">
        <f t="shared" si="4"/>
        <v>235.38461538461539</v>
      </c>
      <c r="F9" s="7">
        <f t="shared" si="8"/>
        <v>3200</v>
      </c>
      <c r="G9" s="7">
        <f t="shared" si="5"/>
        <v>266.66666666666669</v>
      </c>
    </row>
    <row r="10" spans="1:12" x14ac:dyDescent="0.3">
      <c r="A10" s="3" t="s">
        <v>299</v>
      </c>
      <c r="B10" s="7">
        <f t="shared" si="6"/>
        <v>951.2</v>
      </c>
      <c r="C10" s="7">
        <f t="shared" si="7"/>
        <v>4067.2</v>
      </c>
      <c r="D10" s="7">
        <f t="shared" si="3"/>
        <v>5018.3999999999996</v>
      </c>
      <c r="E10" s="7">
        <f t="shared" si="4"/>
        <v>193.01538461538459</v>
      </c>
      <c r="F10" s="7">
        <f t="shared" si="8"/>
        <v>2624</v>
      </c>
      <c r="G10" s="7">
        <f t="shared" si="5"/>
        <v>218.66666666666666</v>
      </c>
    </row>
    <row r="11" spans="1:12" x14ac:dyDescent="0.3">
      <c r="A11" s="3" t="s">
        <v>300</v>
      </c>
      <c r="B11" s="7">
        <f t="shared" si="6"/>
        <v>902.625</v>
      </c>
      <c r="C11" s="7">
        <f t="shared" si="7"/>
        <v>3859.5</v>
      </c>
      <c r="D11" s="7">
        <f t="shared" si="3"/>
        <v>4762.125</v>
      </c>
      <c r="E11" s="7">
        <f t="shared" si="4"/>
        <v>183.15865384615384</v>
      </c>
      <c r="F11" s="7">
        <f t="shared" si="8"/>
        <v>2490</v>
      </c>
      <c r="G11" s="7">
        <f t="shared" si="5"/>
        <v>207.5</v>
      </c>
    </row>
    <row r="12" spans="1:12" x14ac:dyDescent="0.3">
      <c r="A12" s="3" t="s">
        <v>301</v>
      </c>
      <c r="B12" s="7">
        <f t="shared" si="6"/>
        <v>915.4575000000001</v>
      </c>
      <c r="C12" s="7">
        <f t="shared" si="7"/>
        <v>3914.37</v>
      </c>
      <c r="D12" s="7">
        <f t="shared" si="3"/>
        <v>4829.8275000000003</v>
      </c>
      <c r="E12" s="7">
        <f t="shared" si="4"/>
        <v>185.76259615384618</v>
      </c>
      <c r="F12" s="7">
        <f t="shared" si="8"/>
        <v>2525.4</v>
      </c>
      <c r="G12" s="7">
        <f t="shared" si="5"/>
        <v>210.45000000000002</v>
      </c>
    </row>
    <row r="13" spans="1:12" x14ac:dyDescent="0.3">
      <c r="A13" s="3" t="s">
        <v>143</v>
      </c>
      <c r="B13" s="7">
        <f t="shared" si="6"/>
        <v>206.8515625</v>
      </c>
      <c r="C13" s="7">
        <f>PRODUCT(B51,0.062)</f>
        <v>884.46875</v>
      </c>
      <c r="D13" s="7">
        <f>SUM(B13:C13)</f>
        <v>1091.3203125</v>
      </c>
      <c r="E13" s="7">
        <f>D13/3</f>
        <v>363.7734375</v>
      </c>
      <c r="F13" s="7">
        <f t="shared" si="8"/>
        <v>570.625</v>
      </c>
      <c r="G13" s="7">
        <f>F13/3</f>
        <v>190.20833333333334</v>
      </c>
      <c r="H13" s="138"/>
    </row>
    <row r="14" spans="1:12" x14ac:dyDescent="0.3">
      <c r="A14" s="3" t="s">
        <v>144</v>
      </c>
      <c r="B14" s="7">
        <f>PRODUCT(B52,0.0145)</f>
        <v>928</v>
      </c>
      <c r="C14" s="7">
        <f>PRODUCT(B52,0.062)</f>
        <v>3968</v>
      </c>
      <c r="D14" s="7">
        <f t="shared" si="3"/>
        <v>4896</v>
      </c>
      <c r="E14" s="7">
        <f t="shared" si="4"/>
        <v>188.30769230769232</v>
      </c>
      <c r="F14" s="7">
        <f>(B52*0.03)+((B52*0.02)/2)</f>
        <v>2560</v>
      </c>
      <c r="G14" s="7">
        <f t="shared" si="5"/>
        <v>213.33333333333334</v>
      </c>
    </row>
    <row r="15" spans="1:12" x14ac:dyDescent="0.3">
      <c r="A15" s="3" t="s">
        <v>145</v>
      </c>
      <c r="B15" s="7">
        <f>PRODUCT(B53,0.0145)</f>
        <v>209.34375</v>
      </c>
      <c r="C15" s="7">
        <f>PRODUCT(B53,0.062)</f>
        <v>895.125</v>
      </c>
      <c r="D15" s="7">
        <f>SUM(B15:C15)</f>
        <v>1104.46875</v>
      </c>
      <c r="E15" s="7">
        <f>D15/3</f>
        <v>368.15625</v>
      </c>
      <c r="F15" s="7">
        <f>(B53*0.03)+((B53*0.02)/2)</f>
        <v>577.5</v>
      </c>
      <c r="G15" s="7">
        <f>F15/3</f>
        <v>192.5</v>
      </c>
      <c r="H15" s="138"/>
    </row>
    <row r="16" spans="1:12" x14ac:dyDescent="0.3">
      <c r="A16" s="3" t="s">
        <v>146</v>
      </c>
      <c r="B16" s="7">
        <f>PRODUCT(B54,0.0145)</f>
        <v>87</v>
      </c>
      <c r="C16" s="7">
        <f>PRODUCT(B54,0.062)</f>
        <v>372</v>
      </c>
      <c r="D16" s="7">
        <f>SUM(B16:C16)</f>
        <v>459</v>
      </c>
      <c r="E16" s="7">
        <f>D16/11</f>
        <v>41.727272727272727</v>
      </c>
      <c r="F16" s="7"/>
      <c r="G16" s="7"/>
    </row>
    <row r="17" spans="1:19" x14ac:dyDescent="0.3">
      <c r="A17" s="3" t="s">
        <v>302</v>
      </c>
      <c r="B17" s="7">
        <f>PRODUCT(B55,0.0145)</f>
        <v>870</v>
      </c>
      <c r="C17" s="7">
        <f>PRODUCT(B55,0.062)</f>
        <v>3720</v>
      </c>
      <c r="D17" s="7">
        <f>SUM(B17:C17)</f>
        <v>4590</v>
      </c>
      <c r="E17" s="7">
        <f>D17/20</f>
        <v>229.5</v>
      </c>
      <c r="F17" s="7">
        <f>(B55*0.03)+((B55*0.02)/2)</f>
        <v>2400</v>
      </c>
      <c r="G17" s="7">
        <f>F17/20</f>
        <v>120</v>
      </c>
    </row>
    <row r="18" spans="1:19" x14ac:dyDescent="0.3">
      <c r="A18" s="25"/>
      <c r="B18" s="26">
        <f t="shared" ref="B18:G18" si="9">SUM(B3:B17)</f>
        <v>13561.034375000003</v>
      </c>
      <c r="C18" s="26">
        <f t="shared" si="9"/>
        <v>57985.112499999996</v>
      </c>
      <c r="D18" s="26">
        <f>SUM(D3:D17)</f>
        <v>71546.146875000006</v>
      </c>
      <c r="E18" s="26">
        <f>SUM(E3:E17)</f>
        <v>3983.8341837849644</v>
      </c>
      <c r="F18" s="26">
        <f t="shared" si="9"/>
        <v>37169.75</v>
      </c>
      <c r="G18" s="26">
        <f t="shared" si="9"/>
        <v>3529.510416666667</v>
      </c>
    </row>
    <row r="19" spans="1:19" x14ac:dyDescent="0.3">
      <c r="B19" s="32"/>
      <c r="C19" s="11"/>
    </row>
    <row r="20" spans="1:19" ht="14.4" x14ac:dyDescent="0.3">
      <c r="A20" s="6" t="s">
        <v>148</v>
      </c>
      <c r="N20" s="14"/>
      <c r="O20" s="14"/>
    </row>
    <row r="21" spans="1:19" ht="25.5" customHeight="1" x14ac:dyDescent="0.3">
      <c r="A21" s="23"/>
      <c r="B21" s="28" t="s">
        <v>149</v>
      </c>
      <c r="C21" s="28" t="s">
        <v>150</v>
      </c>
      <c r="D21" s="28" t="s">
        <v>151</v>
      </c>
      <c r="E21" s="30" t="s">
        <v>152</v>
      </c>
      <c r="F21" s="30" t="s">
        <v>153</v>
      </c>
      <c r="G21" s="30" t="s">
        <v>154</v>
      </c>
      <c r="H21" s="30" t="s">
        <v>155</v>
      </c>
      <c r="I21" s="30" t="s">
        <v>156</v>
      </c>
      <c r="J21" s="30" t="s">
        <v>157</v>
      </c>
      <c r="K21" s="28" t="s">
        <v>158</v>
      </c>
      <c r="L21" s="30" t="s">
        <v>159</v>
      </c>
      <c r="M21" s="30" t="s">
        <v>160</v>
      </c>
      <c r="N21" s="4"/>
      <c r="O21" s="4"/>
      <c r="P21" s="4"/>
      <c r="Q21" s="4"/>
      <c r="R21" s="4"/>
    </row>
    <row r="22" spans="1:19" x14ac:dyDescent="0.3">
      <c r="A22" s="3" t="s">
        <v>296</v>
      </c>
      <c r="B22" s="7">
        <f t="shared" ref="B22:B31" si="10">724.57*0.8</f>
        <v>579.65600000000006</v>
      </c>
      <c r="C22" s="7">
        <v>30.96</v>
      </c>
      <c r="D22" s="7">
        <v>7.39</v>
      </c>
      <c r="E22" s="7">
        <f>(2276.37-B22)/2</f>
        <v>848.35699999999997</v>
      </c>
      <c r="F22" s="7">
        <f>(132.45-30.96)/2</f>
        <v>50.74499999999999</v>
      </c>
      <c r="G22" s="7">
        <f>(26.07-D22)/2</f>
        <v>9.34</v>
      </c>
      <c r="H22" s="7"/>
      <c r="I22" s="7"/>
      <c r="J22" s="7"/>
      <c r="K22" s="7">
        <f>K37/14</f>
        <v>52.151428571428575</v>
      </c>
      <c r="L22" s="7">
        <f t="shared" ref="L22:L34" si="11">SUM(B22:K22)</f>
        <v>1578.5994285714285</v>
      </c>
      <c r="M22" s="7">
        <f>L22*12</f>
        <v>18943.193142857141</v>
      </c>
      <c r="N22" s="4"/>
      <c r="O22" s="4"/>
      <c r="P22" s="4"/>
      <c r="Q22" s="4"/>
      <c r="R22" s="4"/>
      <c r="S22" s="4"/>
    </row>
    <row r="23" spans="1:19" x14ac:dyDescent="0.3">
      <c r="A23" s="3" t="s">
        <v>297</v>
      </c>
      <c r="B23" s="7">
        <f t="shared" si="10"/>
        <v>579.65600000000006</v>
      </c>
      <c r="C23" s="7">
        <v>30.96</v>
      </c>
      <c r="D23" s="7">
        <v>7.39</v>
      </c>
      <c r="E23" s="7"/>
      <c r="F23" s="7"/>
      <c r="G23" s="7"/>
      <c r="H23" s="7"/>
      <c r="I23" s="7"/>
      <c r="J23" s="7"/>
      <c r="K23" s="7">
        <f>K37/14</f>
        <v>52.151428571428575</v>
      </c>
      <c r="L23" s="7">
        <f t="shared" si="11"/>
        <v>670.15742857142868</v>
      </c>
      <c r="M23" s="7">
        <f>L23*12</f>
        <v>8041.8891428571442</v>
      </c>
      <c r="N23" s="4"/>
      <c r="O23" s="4"/>
      <c r="P23" s="4"/>
      <c r="Q23" s="4"/>
      <c r="R23" s="4"/>
      <c r="S23" s="4"/>
    </row>
    <row r="24" spans="1:19" x14ac:dyDescent="0.3">
      <c r="A24" s="3" t="s">
        <v>141</v>
      </c>
      <c r="B24" s="7">
        <f t="shared" si="10"/>
        <v>579.65600000000006</v>
      </c>
      <c r="C24" s="7">
        <v>30.96</v>
      </c>
      <c r="D24" s="7">
        <v>7.39</v>
      </c>
      <c r="E24" s="7"/>
      <c r="F24" s="7"/>
      <c r="G24" s="7"/>
      <c r="H24" s="7"/>
      <c r="I24" s="7"/>
      <c r="J24" s="7"/>
      <c r="K24" s="7">
        <f>K37/14</f>
        <v>52.151428571428575</v>
      </c>
      <c r="L24" s="7">
        <f t="shared" si="11"/>
        <v>670.15742857142868</v>
      </c>
      <c r="M24" s="7">
        <f>L24*12</f>
        <v>8041.8891428571442</v>
      </c>
      <c r="N24" s="4"/>
      <c r="O24" s="4"/>
      <c r="P24" s="4"/>
      <c r="Q24" s="4"/>
      <c r="R24" s="4"/>
      <c r="S24" s="4"/>
    </row>
    <row r="25" spans="1:19" x14ac:dyDescent="0.3">
      <c r="A25" s="3" t="s">
        <v>298</v>
      </c>
      <c r="B25" s="7">
        <f t="shared" si="10"/>
        <v>579.65600000000006</v>
      </c>
      <c r="C25" s="7">
        <v>30.96</v>
      </c>
      <c r="D25" s="7"/>
      <c r="E25" s="7"/>
      <c r="F25" s="7"/>
      <c r="G25" s="7"/>
      <c r="H25" s="7"/>
      <c r="I25" s="7"/>
      <c r="J25" s="7"/>
      <c r="K25" s="7">
        <f>K37/14</f>
        <v>52.151428571428575</v>
      </c>
      <c r="L25" s="7">
        <f t="shared" si="11"/>
        <v>662.7674285714287</v>
      </c>
      <c r="M25" s="7">
        <f>L25*12</f>
        <v>7953.2091428571439</v>
      </c>
      <c r="N25" s="4"/>
      <c r="O25" s="4"/>
      <c r="P25" s="4"/>
      <c r="Q25" s="4"/>
      <c r="R25" s="4"/>
      <c r="S25" s="4"/>
    </row>
    <row r="26" spans="1:19" x14ac:dyDescent="0.3">
      <c r="A26" s="3" t="s">
        <v>142</v>
      </c>
      <c r="B26" s="7">
        <f t="shared" si="10"/>
        <v>579.65600000000006</v>
      </c>
      <c r="C26" s="7">
        <v>30.96</v>
      </c>
      <c r="D26" s="7">
        <v>7.39</v>
      </c>
      <c r="E26" s="7">
        <f>(2276.37-B26)/2</f>
        <v>848.35699999999997</v>
      </c>
      <c r="F26" s="7">
        <f>(132.45-30.96)/2</f>
        <v>50.74499999999999</v>
      </c>
      <c r="G26" s="7"/>
      <c r="H26" s="7"/>
      <c r="I26" s="7"/>
      <c r="J26" s="7"/>
      <c r="K26" s="7">
        <f>K37/14</f>
        <v>52.151428571428575</v>
      </c>
      <c r="L26" s="7">
        <f t="shared" si="11"/>
        <v>1569.2594285714285</v>
      </c>
      <c r="M26" s="7">
        <f>L26*12</f>
        <v>18831.113142857143</v>
      </c>
      <c r="N26" s="4"/>
      <c r="O26" s="4"/>
      <c r="P26" s="4"/>
      <c r="Q26" s="4"/>
      <c r="R26" s="4"/>
      <c r="S26" s="4"/>
    </row>
    <row r="27" spans="1:19" x14ac:dyDescent="0.3">
      <c r="A27" s="15" t="s">
        <v>161</v>
      </c>
      <c r="B27" s="7">
        <f t="shared" si="10"/>
        <v>579.65600000000006</v>
      </c>
      <c r="C27" s="7">
        <v>30.96</v>
      </c>
      <c r="D27" s="7">
        <v>7.39</v>
      </c>
      <c r="E27" s="7"/>
      <c r="F27" s="7"/>
      <c r="G27" s="7"/>
      <c r="H27" s="7"/>
      <c r="I27" s="7"/>
      <c r="J27" s="7"/>
      <c r="K27" s="7">
        <f>K37/14</f>
        <v>52.151428571428575</v>
      </c>
      <c r="L27" s="7">
        <f t="shared" si="11"/>
        <v>670.15742857142868</v>
      </c>
      <c r="M27" s="7">
        <f>L27*3</f>
        <v>2010.472285714286</v>
      </c>
      <c r="N27" s="138"/>
      <c r="O27" s="4"/>
      <c r="P27" s="4"/>
      <c r="Q27" s="4"/>
      <c r="R27" s="4"/>
      <c r="S27" s="4"/>
    </row>
    <row r="28" spans="1:19" x14ac:dyDescent="0.3">
      <c r="A28" s="3" t="s">
        <v>162</v>
      </c>
      <c r="B28" s="7">
        <f t="shared" si="10"/>
        <v>579.65600000000006</v>
      </c>
      <c r="C28" s="7">
        <v>30.96</v>
      </c>
      <c r="D28" s="7">
        <v>7.39</v>
      </c>
      <c r="E28" s="7"/>
      <c r="F28" s="7"/>
      <c r="G28" s="7"/>
      <c r="H28" s="7"/>
      <c r="I28" s="7"/>
      <c r="J28" s="7"/>
      <c r="K28" s="7">
        <f>K37/14</f>
        <v>52.151428571428575</v>
      </c>
      <c r="L28" s="7">
        <f t="shared" si="11"/>
        <v>670.15742857142868</v>
      </c>
      <c r="M28" s="7">
        <f>L28*12</f>
        <v>8041.8891428571442</v>
      </c>
      <c r="N28" s="4"/>
      <c r="O28" s="4"/>
      <c r="P28" s="4"/>
      <c r="Q28" s="4"/>
      <c r="R28" s="4"/>
      <c r="S28" s="4"/>
    </row>
    <row r="29" spans="1:19" x14ac:dyDescent="0.3">
      <c r="A29" s="3" t="s">
        <v>299</v>
      </c>
      <c r="B29" s="7">
        <f t="shared" si="10"/>
        <v>579.65600000000006</v>
      </c>
      <c r="C29" s="7"/>
      <c r="D29" s="7"/>
      <c r="E29" s="7"/>
      <c r="F29" s="7"/>
      <c r="G29" s="7"/>
      <c r="H29" s="7"/>
      <c r="I29" s="7"/>
      <c r="J29" s="7"/>
      <c r="K29" s="7">
        <f>K37/14</f>
        <v>52.151428571428575</v>
      </c>
      <c r="L29" s="7">
        <f t="shared" si="11"/>
        <v>631.80742857142866</v>
      </c>
      <c r="M29" s="7">
        <f>L29*12</f>
        <v>7581.6891428571435</v>
      </c>
      <c r="N29" s="4"/>
      <c r="O29" s="4"/>
      <c r="P29" s="4"/>
      <c r="Q29" s="4"/>
      <c r="R29" s="4"/>
      <c r="S29" s="4"/>
    </row>
    <row r="30" spans="1:19" x14ac:dyDescent="0.3">
      <c r="A30" s="3" t="s">
        <v>300</v>
      </c>
      <c r="B30" s="7">
        <f t="shared" si="10"/>
        <v>579.65600000000006</v>
      </c>
      <c r="C30" s="7"/>
      <c r="D30" s="7"/>
      <c r="E30" s="7">
        <f>(1274.74-B30)/2</f>
        <v>347.54199999999997</v>
      </c>
      <c r="F30" s="7"/>
      <c r="G30" s="7"/>
      <c r="H30" s="7"/>
      <c r="I30" s="7"/>
      <c r="J30" s="7"/>
      <c r="K30" s="7">
        <f>K37/14</f>
        <v>52.151428571428575</v>
      </c>
      <c r="L30" s="7">
        <f t="shared" si="11"/>
        <v>979.34942857142869</v>
      </c>
      <c r="M30" s="7">
        <f>L30*12</f>
        <v>11752.193142857144</v>
      </c>
      <c r="N30" s="4"/>
      <c r="O30" s="4"/>
      <c r="P30" s="4"/>
      <c r="Q30" s="4"/>
      <c r="R30" s="4"/>
      <c r="S30" s="4"/>
    </row>
    <row r="31" spans="1:19" x14ac:dyDescent="0.3">
      <c r="A31" s="3" t="s">
        <v>301</v>
      </c>
      <c r="B31" s="7">
        <f t="shared" si="10"/>
        <v>579.65600000000006</v>
      </c>
      <c r="C31" s="7">
        <v>30.96</v>
      </c>
      <c r="D31" s="7">
        <v>7.39</v>
      </c>
      <c r="E31" s="7"/>
      <c r="F31" s="7"/>
      <c r="G31" s="7"/>
      <c r="H31" s="7"/>
      <c r="I31" s="7"/>
      <c r="J31" s="7"/>
      <c r="K31" s="7">
        <f>K37/14</f>
        <v>52.151428571428575</v>
      </c>
      <c r="L31" s="7">
        <f t="shared" si="11"/>
        <v>670.15742857142868</v>
      </c>
      <c r="M31" s="7">
        <f>L31*12</f>
        <v>8041.8891428571442</v>
      </c>
      <c r="N31" s="4"/>
      <c r="O31" s="4"/>
      <c r="P31" s="4"/>
      <c r="Q31" s="4"/>
      <c r="R31" s="4"/>
      <c r="S31" s="4"/>
    </row>
    <row r="32" spans="1:19" x14ac:dyDescent="0.3">
      <c r="A32" s="3" t="s">
        <v>143</v>
      </c>
      <c r="B32" s="7"/>
      <c r="C32" s="7"/>
      <c r="D32" s="7"/>
      <c r="E32" s="7"/>
      <c r="F32" s="7"/>
      <c r="G32" s="12"/>
      <c r="H32" s="12"/>
      <c r="I32" s="12"/>
      <c r="J32" s="12"/>
      <c r="K32" s="12">
        <f>K37/14</f>
        <v>52.151428571428575</v>
      </c>
      <c r="L32" s="7">
        <f t="shared" si="11"/>
        <v>52.151428571428575</v>
      </c>
      <c r="M32" s="7">
        <f>L32*3</f>
        <v>156.45428571428573</v>
      </c>
      <c r="N32" s="138"/>
      <c r="O32" s="4"/>
      <c r="P32" s="4"/>
      <c r="Q32" s="4"/>
      <c r="R32" s="4"/>
      <c r="S32" s="4"/>
    </row>
    <row r="33" spans="1:19" x14ac:dyDescent="0.3">
      <c r="A33" s="3" t="s">
        <v>144</v>
      </c>
      <c r="B33" s="7">
        <f>724.57*0.8</f>
        <v>579.65600000000006</v>
      </c>
      <c r="C33" s="7"/>
      <c r="D33" s="7">
        <v>7.39</v>
      </c>
      <c r="E33" s="7"/>
      <c r="F33" s="7"/>
      <c r="G33" s="12"/>
      <c r="H33" s="12"/>
      <c r="I33" s="12"/>
      <c r="J33" s="12"/>
      <c r="K33" s="12">
        <f>K37/14</f>
        <v>52.151428571428575</v>
      </c>
      <c r="L33" s="7">
        <f t="shared" si="11"/>
        <v>639.19742857142865</v>
      </c>
      <c r="M33" s="7">
        <f t="shared" ref="M33:M35" si="12">L33*12</f>
        <v>7670.3691428571437</v>
      </c>
      <c r="N33" s="4"/>
      <c r="O33" s="4"/>
      <c r="P33" s="4"/>
      <c r="Q33" s="4"/>
      <c r="R33" s="4"/>
      <c r="S33" s="4"/>
    </row>
    <row r="34" spans="1:19" x14ac:dyDescent="0.3">
      <c r="A34" s="3" t="s">
        <v>145</v>
      </c>
      <c r="B34" s="7">
        <f>724.57*0.8</f>
        <v>579.65600000000006</v>
      </c>
      <c r="C34" s="7">
        <v>30.96</v>
      </c>
      <c r="D34" s="7">
        <v>7.39</v>
      </c>
      <c r="E34" s="7"/>
      <c r="F34" s="7"/>
      <c r="G34" s="12"/>
      <c r="H34" s="12"/>
      <c r="I34" s="12"/>
      <c r="J34" s="12"/>
      <c r="K34" s="12">
        <f>K37/14</f>
        <v>52.151428571428575</v>
      </c>
      <c r="L34" s="7">
        <f t="shared" si="11"/>
        <v>670.15742857142868</v>
      </c>
      <c r="M34" s="7">
        <f>L34*3</f>
        <v>2010.472285714286</v>
      </c>
      <c r="N34" s="138"/>
      <c r="O34" s="4"/>
      <c r="P34" s="4"/>
      <c r="Q34" s="4"/>
      <c r="R34" s="4"/>
      <c r="S34" s="4"/>
    </row>
    <row r="35" spans="1:19" x14ac:dyDescent="0.3">
      <c r="A35" s="3" t="s">
        <v>146</v>
      </c>
      <c r="B35" s="7"/>
      <c r="C35" s="7"/>
      <c r="D35" s="7"/>
      <c r="E35" s="7"/>
      <c r="F35" s="7"/>
      <c r="G35" s="12"/>
      <c r="H35" s="12"/>
      <c r="I35" s="12"/>
      <c r="J35" s="12"/>
      <c r="K35" s="12"/>
      <c r="L35" s="7"/>
      <c r="M35" s="7">
        <f t="shared" si="12"/>
        <v>0</v>
      </c>
      <c r="N35" s="4"/>
      <c r="O35" s="4"/>
      <c r="P35" s="4"/>
      <c r="Q35" s="4"/>
      <c r="R35" s="4"/>
      <c r="S35" s="4"/>
    </row>
    <row r="36" spans="1:19" x14ac:dyDescent="0.3">
      <c r="A36" s="3" t="s">
        <v>302</v>
      </c>
      <c r="B36" s="7">
        <f>724.57*0.8</f>
        <v>579.65600000000006</v>
      </c>
      <c r="C36" s="7"/>
      <c r="D36" s="7">
        <v>7.39</v>
      </c>
      <c r="E36" s="7"/>
      <c r="F36" s="7"/>
      <c r="G36" s="12"/>
      <c r="H36" s="12"/>
      <c r="I36" s="12"/>
      <c r="J36" s="12"/>
      <c r="K36" s="12">
        <f>K37/14</f>
        <v>52.151428571428575</v>
      </c>
      <c r="L36" s="7">
        <f>SUM(B36:K36)</f>
        <v>639.19742857142865</v>
      </c>
      <c r="M36" s="7">
        <f>L36*9</f>
        <v>5752.7768571428578</v>
      </c>
      <c r="N36" s="4"/>
      <c r="O36" s="4"/>
      <c r="P36" s="4"/>
      <c r="Q36" s="4"/>
      <c r="R36" s="4"/>
      <c r="S36" s="4"/>
    </row>
    <row r="37" spans="1:19" x14ac:dyDescent="0.3">
      <c r="A37" s="25"/>
      <c r="B37" s="26">
        <f t="shared" ref="B37:G37" si="13">SUM(B22:B36)</f>
        <v>7535.5280000000002</v>
      </c>
      <c r="C37" s="26">
        <f t="shared" si="13"/>
        <v>278.64000000000004</v>
      </c>
      <c r="D37" s="26">
        <f t="shared" si="13"/>
        <v>73.899999999999991</v>
      </c>
      <c r="E37" s="26">
        <f t="shared" si="13"/>
        <v>2044.2559999999999</v>
      </c>
      <c r="F37" s="26">
        <f t="shared" si="13"/>
        <v>101.48999999999998</v>
      </c>
      <c r="G37" s="26">
        <f t="shared" si="13"/>
        <v>9.34</v>
      </c>
      <c r="H37" s="26">
        <f>SUM(H22:H34)</f>
        <v>0</v>
      </c>
      <c r="I37" s="26">
        <f>SUM(I22:I34)</f>
        <v>0</v>
      </c>
      <c r="J37" s="26">
        <f>SUM(J22:J34)</f>
        <v>0</v>
      </c>
      <c r="K37" s="26">
        <v>730.12</v>
      </c>
      <c r="L37" s="26">
        <f>SUM(L22:L36)</f>
        <v>10773.274000000001</v>
      </c>
      <c r="M37" s="26">
        <f>SUM(M22:M36)</f>
        <v>114829.49914285715</v>
      </c>
      <c r="N37" s="4"/>
      <c r="O37" s="4"/>
      <c r="P37" s="4"/>
      <c r="Q37" s="4"/>
      <c r="R37" s="4"/>
      <c r="S37" s="4"/>
    </row>
    <row r="38" spans="1:19" x14ac:dyDescent="0.3">
      <c r="I38" s="4"/>
      <c r="J38" s="4"/>
      <c r="K38" s="4"/>
      <c r="L38" s="4"/>
      <c r="M38" s="4"/>
      <c r="N38" s="4"/>
      <c r="O38" s="4"/>
    </row>
    <row r="39" spans="1:19" ht="14.4" x14ac:dyDescent="0.3">
      <c r="A39" s="6" t="s">
        <v>163</v>
      </c>
      <c r="I39" s="4"/>
      <c r="J39" s="4"/>
      <c r="K39" s="4"/>
      <c r="L39" s="4"/>
      <c r="M39" s="4"/>
      <c r="N39" s="4"/>
      <c r="O39" s="4"/>
    </row>
    <row r="40" spans="1:19" ht="41.4" x14ac:dyDescent="0.3">
      <c r="A40" s="23"/>
      <c r="B40" s="28" t="s">
        <v>164</v>
      </c>
      <c r="C40" s="28" t="s">
        <v>165</v>
      </c>
      <c r="D40" s="28" t="s">
        <v>166</v>
      </c>
      <c r="E40" s="28" t="s">
        <v>167</v>
      </c>
      <c r="F40" s="28" t="s">
        <v>168</v>
      </c>
      <c r="G40" s="28" t="s">
        <v>169</v>
      </c>
      <c r="H40" s="28" t="s">
        <v>170</v>
      </c>
      <c r="I40" s="28" t="s">
        <v>171</v>
      </c>
      <c r="J40" s="4"/>
      <c r="K40" s="14"/>
      <c r="L40" s="4"/>
      <c r="M40" s="4"/>
    </row>
    <row r="41" spans="1:19" x14ac:dyDescent="0.3">
      <c r="A41" s="3" t="s">
        <v>296</v>
      </c>
      <c r="B41" s="7">
        <f>F61</f>
        <v>167855.625</v>
      </c>
      <c r="C41" s="7">
        <f t="shared" ref="C41:C55" si="14">SUM(F3,M22)</f>
        <v>25657.418142857139</v>
      </c>
      <c r="D41" s="7">
        <f t="shared" ref="D41:D55" si="15">SUM(B3,C3)</f>
        <v>12840.9553125</v>
      </c>
      <c r="E41" s="7">
        <f>B41+C41+D41</f>
        <v>206353.99845535716</v>
      </c>
      <c r="F41" s="8">
        <v>1952</v>
      </c>
      <c r="G41" s="7">
        <f>B41/F41</f>
        <v>85.99161116803279</v>
      </c>
      <c r="H41" s="7">
        <f>E41/F41</f>
        <v>105.71413855294936</v>
      </c>
      <c r="I41" s="10">
        <f>B41/26</f>
        <v>6455.9855769230771</v>
      </c>
      <c r="J41" s="91"/>
      <c r="K41" s="14"/>
    </row>
    <row r="42" spans="1:19" x14ac:dyDescent="0.3">
      <c r="A42" s="3" t="s">
        <v>297</v>
      </c>
      <c r="B42" s="7">
        <f>F62</f>
        <v>58800</v>
      </c>
      <c r="C42" s="7">
        <f t="shared" si="14"/>
        <v>10393.889142857144</v>
      </c>
      <c r="D42" s="7">
        <f t="shared" si="15"/>
        <v>4498.2</v>
      </c>
      <c r="E42" s="7">
        <f t="shared" ref="E42:E55" si="16">B42+C42+D42</f>
        <v>73692.089142857134</v>
      </c>
      <c r="F42" s="8">
        <v>1952</v>
      </c>
      <c r="G42" s="7">
        <f t="shared" ref="G42:G55" si="17">B42/F42</f>
        <v>30.122950819672131</v>
      </c>
      <c r="H42" s="7">
        <f t="shared" ref="H42:H55" si="18">E42/F42</f>
        <v>37.752094847775169</v>
      </c>
      <c r="I42" s="10">
        <f>B42/26</f>
        <v>2261.5384615384614</v>
      </c>
      <c r="J42" s="91"/>
      <c r="K42" s="14"/>
    </row>
    <row r="43" spans="1:19" x14ac:dyDescent="0.3">
      <c r="A43" s="3" t="s">
        <v>141</v>
      </c>
      <c r="B43" s="7">
        <f>F63</f>
        <v>105000</v>
      </c>
      <c r="C43" s="7">
        <f t="shared" si="14"/>
        <v>12241.889142857144</v>
      </c>
      <c r="D43" s="7">
        <f t="shared" si="15"/>
        <v>8032.5</v>
      </c>
      <c r="E43" s="7">
        <f t="shared" si="16"/>
        <v>125274.38914285714</v>
      </c>
      <c r="F43" s="8">
        <v>1952</v>
      </c>
      <c r="G43" s="7">
        <f t="shared" si="17"/>
        <v>53.790983606557376</v>
      </c>
      <c r="H43" s="7">
        <f t="shared" si="18"/>
        <v>64.17745345433255</v>
      </c>
      <c r="I43" s="10">
        <f>B43/26</f>
        <v>4038.4615384615386</v>
      </c>
      <c r="J43" s="91"/>
      <c r="K43" s="14"/>
    </row>
    <row r="44" spans="1:19" x14ac:dyDescent="0.3">
      <c r="A44" s="3" t="s">
        <v>298</v>
      </c>
      <c r="B44" s="7">
        <f>F64</f>
        <v>73500</v>
      </c>
      <c r="C44" s="7">
        <f t="shared" si="14"/>
        <v>10893.209142857144</v>
      </c>
      <c r="D44" s="7">
        <f t="shared" si="15"/>
        <v>5622.75</v>
      </c>
      <c r="E44" s="7">
        <f t="shared" si="16"/>
        <v>90015.959142857144</v>
      </c>
      <c r="F44" s="8">
        <v>1952</v>
      </c>
      <c r="G44" s="7">
        <f t="shared" si="17"/>
        <v>37.653688524590166</v>
      </c>
      <c r="H44" s="7">
        <f t="shared" si="18"/>
        <v>46.114733167447305</v>
      </c>
      <c r="I44" s="10">
        <f>B44/26</f>
        <v>2826.9230769230771</v>
      </c>
      <c r="J44" s="91"/>
      <c r="K44" s="14"/>
    </row>
    <row r="45" spans="1:19" x14ac:dyDescent="0.3">
      <c r="A45" s="3" t="s">
        <v>142</v>
      </c>
      <c r="B45" s="7">
        <f t="shared" ref="B45:B55" si="19">F65</f>
        <v>77900</v>
      </c>
      <c r="C45" s="7">
        <f t="shared" si="14"/>
        <v>21947.113142857143</v>
      </c>
      <c r="D45" s="7">
        <f t="shared" si="15"/>
        <v>5959.35</v>
      </c>
      <c r="E45" s="7">
        <f t="shared" si="16"/>
        <v>105806.46314285714</v>
      </c>
      <c r="F45" s="8">
        <v>1952</v>
      </c>
      <c r="G45" s="7">
        <f t="shared" si="17"/>
        <v>39.907786885245905</v>
      </c>
      <c r="H45" s="7">
        <f t="shared" si="18"/>
        <v>54.204130708430917</v>
      </c>
      <c r="I45" s="10">
        <f>B45/26</f>
        <v>2996.1538461538462</v>
      </c>
      <c r="J45" s="91"/>
      <c r="K45" s="14"/>
    </row>
    <row r="46" spans="1:19" x14ac:dyDescent="0.3">
      <c r="A46" s="15" t="s">
        <v>161</v>
      </c>
      <c r="B46" s="7">
        <f>F66</f>
        <v>22500</v>
      </c>
      <c r="C46" s="7">
        <f t="shared" si="14"/>
        <v>2910.472285714286</v>
      </c>
      <c r="D46" s="7">
        <f t="shared" si="15"/>
        <v>1721.25</v>
      </c>
      <c r="E46" s="7">
        <f t="shared" si="16"/>
        <v>27131.722285714284</v>
      </c>
      <c r="F46" s="8">
        <v>1952</v>
      </c>
      <c r="G46" s="7">
        <f t="shared" si="17"/>
        <v>11.526639344262295</v>
      </c>
      <c r="H46" s="7">
        <f t="shared" si="18"/>
        <v>13.899447892271661</v>
      </c>
      <c r="I46" s="10">
        <f>B46/6</f>
        <v>3750</v>
      </c>
      <c r="J46" s="138"/>
      <c r="K46" s="14"/>
    </row>
    <row r="47" spans="1:19" x14ac:dyDescent="0.3">
      <c r="A47" s="3" t="s">
        <v>162</v>
      </c>
      <c r="B47" s="7">
        <f t="shared" si="19"/>
        <v>80000</v>
      </c>
      <c r="C47" s="7">
        <f t="shared" si="14"/>
        <v>11241.889142857144</v>
      </c>
      <c r="D47" s="7">
        <f t="shared" si="15"/>
        <v>6120</v>
      </c>
      <c r="E47" s="7">
        <f t="shared" si="16"/>
        <v>97361.889142857137</v>
      </c>
      <c r="F47" s="8">
        <v>1952</v>
      </c>
      <c r="G47" s="7">
        <f t="shared" si="17"/>
        <v>40.983606557377051</v>
      </c>
      <c r="H47" s="7">
        <f t="shared" si="18"/>
        <v>49.878016978922716</v>
      </c>
      <c r="I47" s="10">
        <f t="shared" ref="I47:I52" si="20">B47/26</f>
        <v>3076.9230769230771</v>
      </c>
      <c r="J47" s="139"/>
      <c r="K47" s="14"/>
    </row>
    <row r="48" spans="1:19" x14ac:dyDescent="0.3">
      <c r="A48" s="3" t="s">
        <v>299</v>
      </c>
      <c r="B48" s="7">
        <f t="shared" si="19"/>
        <v>65600</v>
      </c>
      <c r="C48" s="7">
        <f t="shared" si="14"/>
        <v>10205.689142857143</v>
      </c>
      <c r="D48" s="7">
        <f t="shared" si="15"/>
        <v>5018.3999999999996</v>
      </c>
      <c r="E48" s="7">
        <f t="shared" si="16"/>
        <v>80824.089142857134</v>
      </c>
      <c r="F48" s="8">
        <v>1952</v>
      </c>
      <c r="G48" s="7">
        <f t="shared" si="17"/>
        <v>33.606557377049178</v>
      </c>
      <c r="H48" s="7">
        <f t="shared" si="18"/>
        <v>41.405783372365335</v>
      </c>
      <c r="I48" s="10">
        <f t="shared" si="20"/>
        <v>2523.0769230769229</v>
      </c>
      <c r="J48" s="139"/>
      <c r="K48" s="14"/>
    </row>
    <row r="49" spans="1:23" x14ac:dyDescent="0.3">
      <c r="A49" s="3" t="s">
        <v>300</v>
      </c>
      <c r="B49" s="7">
        <f t="shared" si="19"/>
        <v>62250</v>
      </c>
      <c r="C49" s="7">
        <f t="shared" si="14"/>
        <v>14242.193142857144</v>
      </c>
      <c r="D49" s="7">
        <f t="shared" si="15"/>
        <v>4762.125</v>
      </c>
      <c r="E49" s="7">
        <f t="shared" si="16"/>
        <v>81254.318142857141</v>
      </c>
      <c r="F49" s="8">
        <v>1952</v>
      </c>
      <c r="G49" s="7">
        <f t="shared" si="17"/>
        <v>31.890368852459016</v>
      </c>
      <c r="H49" s="7">
        <f t="shared" si="18"/>
        <v>41.626187573185014</v>
      </c>
      <c r="I49" s="10">
        <f t="shared" si="20"/>
        <v>2394.2307692307691</v>
      </c>
      <c r="J49" s="139"/>
      <c r="K49" s="14"/>
    </row>
    <row r="50" spans="1:23" x14ac:dyDescent="0.3">
      <c r="A50" s="3" t="s">
        <v>301</v>
      </c>
      <c r="B50" s="7">
        <f t="shared" si="19"/>
        <v>63135</v>
      </c>
      <c r="C50" s="7">
        <f t="shared" si="14"/>
        <v>10567.289142857144</v>
      </c>
      <c r="D50" s="7">
        <f t="shared" si="15"/>
        <v>4829.8275000000003</v>
      </c>
      <c r="E50" s="7">
        <f t="shared" si="16"/>
        <v>78532.116642857145</v>
      </c>
      <c r="F50" s="8">
        <v>1952</v>
      </c>
      <c r="G50" s="7">
        <f t="shared" si="17"/>
        <v>32.34375</v>
      </c>
      <c r="H50" s="7">
        <f t="shared" si="18"/>
        <v>40.231617132611241</v>
      </c>
      <c r="I50" s="10">
        <f t="shared" si="20"/>
        <v>2428.2692307692309</v>
      </c>
      <c r="J50" s="139"/>
      <c r="K50" s="14"/>
    </row>
    <row r="51" spans="1:23" x14ac:dyDescent="0.3">
      <c r="A51" s="3" t="s">
        <v>143</v>
      </c>
      <c r="B51" s="7">
        <f>F71</f>
        <v>14265.625</v>
      </c>
      <c r="C51" s="7">
        <f t="shared" si="14"/>
        <v>727.07928571428579</v>
      </c>
      <c r="D51" s="7">
        <f t="shared" si="15"/>
        <v>1091.3203125</v>
      </c>
      <c r="E51" s="7">
        <f t="shared" si="16"/>
        <v>16084.024598214286</v>
      </c>
      <c r="F51" s="8">
        <v>1952</v>
      </c>
      <c r="G51" s="7">
        <f t="shared" si="17"/>
        <v>7.3082095286885247</v>
      </c>
      <c r="H51" s="7">
        <f t="shared" si="18"/>
        <v>8.2397666999048589</v>
      </c>
      <c r="I51" s="10">
        <f>B51/6</f>
        <v>2377.6041666666665</v>
      </c>
      <c r="J51" s="138"/>
      <c r="K51" s="14"/>
    </row>
    <row r="52" spans="1:23" x14ac:dyDescent="0.3">
      <c r="A52" s="3" t="s">
        <v>144</v>
      </c>
      <c r="B52" s="7">
        <f t="shared" si="19"/>
        <v>64000</v>
      </c>
      <c r="C52" s="7">
        <f t="shared" si="14"/>
        <v>10230.369142857144</v>
      </c>
      <c r="D52" s="7">
        <f t="shared" si="15"/>
        <v>4896</v>
      </c>
      <c r="E52" s="7">
        <f t="shared" si="16"/>
        <v>79126.369142857147</v>
      </c>
      <c r="F52" s="8">
        <v>1952</v>
      </c>
      <c r="G52" s="7">
        <f t="shared" si="17"/>
        <v>32.786885245901637</v>
      </c>
      <c r="H52" s="7">
        <f t="shared" si="18"/>
        <v>40.536049765807967</v>
      </c>
      <c r="I52" s="10">
        <f t="shared" si="20"/>
        <v>2461.5384615384614</v>
      </c>
      <c r="J52" s="139"/>
      <c r="K52" s="14"/>
    </row>
    <row r="53" spans="1:23" x14ac:dyDescent="0.3">
      <c r="A53" s="3" t="s">
        <v>145</v>
      </c>
      <c r="B53" s="7">
        <f>F73</f>
        <v>14437.5</v>
      </c>
      <c r="C53" s="7">
        <f t="shared" si="14"/>
        <v>2587.972285714286</v>
      </c>
      <c r="D53" s="7">
        <f t="shared" si="15"/>
        <v>1104.46875</v>
      </c>
      <c r="E53" s="7">
        <f t="shared" si="16"/>
        <v>18129.941035714284</v>
      </c>
      <c r="F53" s="8">
        <v>1952</v>
      </c>
      <c r="G53" s="7">
        <f t="shared" si="17"/>
        <v>7.3962602459016393</v>
      </c>
      <c r="H53" s="7">
        <f t="shared" si="18"/>
        <v>9.2878796289519894</v>
      </c>
      <c r="I53" s="10">
        <f>B53/6</f>
        <v>2406.25</v>
      </c>
      <c r="J53" s="138"/>
      <c r="K53" s="14"/>
    </row>
    <row r="54" spans="1:23" x14ac:dyDescent="0.3">
      <c r="A54" s="3" t="s">
        <v>146</v>
      </c>
      <c r="B54" s="7">
        <f t="shared" si="19"/>
        <v>6000</v>
      </c>
      <c r="C54" s="7">
        <f t="shared" si="14"/>
        <v>0</v>
      </c>
      <c r="D54" s="7">
        <f t="shared" si="15"/>
        <v>459</v>
      </c>
      <c r="E54" s="7">
        <f t="shared" si="16"/>
        <v>6459</v>
      </c>
      <c r="F54" s="8"/>
      <c r="G54" s="7"/>
      <c r="H54" s="7"/>
      <c r="I54" s="10">
        <f>B54/11</f>
        <v>545.4545454545455</v>
      </c>
      <c r="J54" s="91"/>
      <c r="K54" s="14"/>
    </row>
    <row r="55" spans="1:23" x14ac:dyDescent="0.3">
      <c r="A55" s="3" t="s">
        <v>302</v>
      </c>
      <c r="B55" s="7">
        <f t="shared" si="19"/>
        <v>60000</v>
      </c>
      <c r="C55" s="7">
        <f t="shared" si="14"/>
        <v>8152.7768571428578</v>
      </c>
      <c r="D55" s="7">
        <f t="shared" si="15"/>
        <v>4590</v>
      </c>
      <c r="E55" s="7">
        <f t="shared" si="16"/>
        <v>72742.776857142861</v>
      </c>
      <c r="F55" s="8">
        <v>1952</v>
      </c>
      <c r="G55" s="7">
        <f t="shared" si="17"/>
        <v>30.737704918032787</v>
      </c>
      <c r="H55" s="7">
        <f t="shared" si="18"/>
        <v>37.265766832552693</v>
      </c>
      <c r="I55" s="10">
        <f>B55/22</f>
        <v>2727.2727272727275</v>
      </c>
      <c r="J55" s="91"/>
      <c r="K55" s="14"/>
    </row>
    <row r="56" spans="1:23" x14ac:dyDescent="0.3">
      <c r="A56" s="25"/>
      <c r="B56" s="26">
        <f>SUM(B41:B55)</f>
        <v>935243.75</v>
      </c>
      <c r="C56" s="26">
        <f>SUM(C41:C55)</f>
        <v>151999.24914285715</v>
      </c>
      <c r="D56" s="26">
        <f>SUM(D41:D55)</f>
        <v>71546.146875000006</v>
      </c>
      <c r="E56" s="26">
        <f>SUM(E41:E55)</f>
        <v>1158789.1460178571</v>
      </c>
      <c r="F56" s="29"/>
      <c r="G56" s="26"/>
      <c r="H56" s="26"/>
      <c r="I56" s="26">
        <f>SUM(I41:I55)</f>
        <v>43269.682400932405</v>
      </c>
      <c r="K56" s="14"/>
    </row>
    <row r="57" spans="1:23" x14ac:dyDescent="0.3">
      <c r="A57" s="34" t="s">
        <v>172</v>
      </c>
    </row>
    <row r="59" spans="1:23" ht="14.4" x14ac:dyDescent="0.3">
      <c r="A59" s="6" t="s">
        <v>173</v>
      </c>
      <c r="K59" s="5"/>
      <c r="L59" s="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x14ac:dyDescent="0.3">
      <c r="A60" s="23" t="s">
        <v>174</v>
      </c>
      <c r="B60" s="23" t="s">
        <v>175</v>
      </c>
      <c r="C60" s="24">
        <v>2023</v>
      </c>
      <c r="D60" s="24">
        <v>2024</v>
      </c>
      <c r="E60" s="24">
        <v>2025</v>
      </c>
      <c r="F60" s="24">
        <v>2026</v>
      </c>
    </row>
    <row r="61" spans="1:23" x14ac:dyDescent="0.3">
      <c r="A61" s="3" t="s">
        <v>176</v>
      </c>
      <c r="B61" s="3" t="s">
        <v>303</v>
      </c>
      <c r="C61" s="10">
        <v>152250</v>
      </c>
      <c r="D61" s="10">
        <f>C61+(C61*0.05)</f>
        <v>159862.5</v>
      </c>
      <c r="E61" s="10">
        <f>D61+(D61*0.05)</f>
        <v>167855.625</v>
      </c>
      <c r="F61" s="10">
        <f>E61+(E61*0)</f>
        <v>167855.625</v>
      </c>
    </row>
    <row r="62" spans="1:23" x14ac:dyDescent="0.3">
      <c r="A62" s="3" t="s">
        <v>177</v>
      </c>
      <c r="B62" s="3" t="s">
        <v>304</v>
      </c>
      <c r="C62" s="10">
        <v>50000</v>
      </c>
      <c r="D62" s="10">
        <f>C62+(C62*0.1)</f>
        <v>55000</v>
      </c>
      <c r="E62" s="10">
        <v>58800</v>
      </c>
      <c r="F62" s="10">
        <f t="shared" ref="F62:F70" si="21">E62+(E62*0)</f>
        <v>58800</v>
      </c>
    </row>
    <row r="63" spans="1:23" x14ac:dyDescent="0.3">
      <c r="A63" s="3" t="s">
        <v>178</v>
      </c>
      <c r="B63" s="3" t="s">
        <v>179</v>
      </c>
      <c r="C63" s="10"/>
      <c r="D63" s="10"/>
      <c r="E63" s="10">
        <v>105000</v>
      </c>
      <c r="F63" s="10">
        <f t="shared" si="21"/>
        <v>105000</v>
      </c>
    </row>
    <row r="64" spans="1:23" x14ac:dyDescent="0.3">
      <c r="A64" s="3" t="s">
        <v>305</v>
      </c>
      <c r="B64" s="3" t="s">
        <v>306</v>
      </c>
      <c r="C64" s="10">
        <v>65000</v>
      </c>
      <c r="D64" s="10">
        <v>70000</v>
      </c>
      <c r="E64" s="10">
        <v>73500</v>
      </c>
      <c r="F64" s="10">
        <f t="shared" si="21"/>
        <v>73500</v>
      </c>
      <c r="G64" s="22"/>
    </row>
    <row r="65" spans="1:19" x14ac:dyDescent="0.3">
      <c r="A65" s="3" t="s">
        <v>180</v>
      </c>
      <c r="B65" s="3" t="s">
        <v>181</v>
      </c>
      <c r="C65" s="10">
        <v>70350</v>
      </c>
      <c r="D65" s="10">
        <v>76000</v>
      </c>
      <c r="E65" s="10">
        <f>D65+(D65*0.025)</f>
        <v>77900</v>
      </c>
      <c r="F65" s="10">
        <f t="shared" si="21"/>
        <v>77900</v>
      </c>
      <c r="G65" s="22"/>
    </row>
    <row r="66" spans="1:19" x14ac:dyDescent="0.3">
      <c r="A66" s="15" t="s">
        <v>182</v>
      </c>
      <c r="B66" s="15" t="s">
        <v>183</v>
      </c>
      <c r="C66" s="10">
        <v>70000</v>
      </c>
      <c r="D66" s="10">
        <v>80000</v>
      </c>
      <c r="E66" s="10">
        <v>90000</v>
      </c>
      <c r="F66" s="10">
        <f>(E66/12)*3</f>
        <v>22500</v>
      </c>
      <c r="G66" s="138"/>
    </row>
    <row r="67" spans="1:19" x14ac:dyDescent="0.3">
      <c r="A67" s="3" t="s">
        <v>184</v>
      </c>
      <c r="B67" s="3" t="s">
        <v>185</v>
      </c>
      <c r="C67" s="10">
        <v>66000</v>
      </c>
      <c r="D67" s="10">
        <v>70000</v>
      </c>
      <c r="E67" s="10">
        <v>80000</v>
      </c>
      <c r="F67" s="10">
        <f t="shared" si="21"/>
        <v>80000</v>
      </c>
      <c r="G67" s="22"/>
      <c r="H67" s="22"/>
      <c r="I67" s="22"/>
    </row>
    <row r="68" spans="1:19" x14ac:dyDescent="0.3">
      <c r="A68" s="3" t="s">
        <v>186</v>
      </c>
      <c r="B68" s="3" t="s">
        <v>187</v>
      </c>
      <c r="C68" s="10">
        <v>54600</v>
      </c>
      <c r="D68" s="10">
        <v>64000</v>
      </c>
      <c r="E68" s="10">
        <f>D68+(D68*0.025)</f>
        <v>65600</v>
      </c>
      <c r="F68" s="10">
        <f>E68+(E68*0)</f>
        <v>65600</v>
      </c>
    </row>
    <row r="69" spans="1:19" x14ac:dyDescent="0.3">
      <c r="A69" s="3" t="s">
        <v>188</v>
      </c>
      <c r="B69" s="3" t="s">
        <v>187</v>
      </c>
      <c r="C69" s="10"/>
      <c r="D69" s="10">
        <v>60000</v>
      </c>
      <c r="E69" s="10">
        <v>62250</v>
      </c>
      <c r="F69" s="10">
        <f t="shared" si="21"/>
        <v>62250</v>
      </c>
    </row>
    <row r="70" spans="1:19" x14ac:dyDescent="0.3">
      <c r="A70" s="3" t="s">
        <v>189</v>
      </c>
      <c r="B70" s="3" t="s">
        <v>187</v>
      </c>
      <c r="C70" s="10">
        <v>50000</v>
      </c>
      <c r="D70" s="10">
        <v>61000</v>
      </c>
      <c r="E70" s="10">
        <v>63135</v>
      </c>
      <c r="F70" s="10">
        <f t="shared" si="21"/>
        <v>63135</v>
      </c>
    </row>
    <row r="71" spans="1:19" x14ac:dyDescent="0.3">
      <c r="A71" s="3" t="s">
        <v>307</v>
      </c>
      <c r="B71" s="3" t="s">
        <v>190</v>
      </c>
      <c r="C71" s="10"/>
      <c r="D71" s="10">
        <v>55000</v>
      </c>
      <c r="E71" s="10">
        <v>57062.5</v>
      </c>
      <c r="F71" s="10">
        <f>(E71/12)*3</f>
        <v>14265.625</v>
      </c>
    </row>
    <row r="72" spans="1:19" x14ac:dyDescent="0.3">
      <c r="A72" s="3" t="s">
        <v>191</v>
      </c>
      <c r="B72" s="3" t="s">
        <v>192</v>
      </c>
      <c r="C72" s="10">
        <v>44000</v>
      </c>
      <c r="D72" s="10">
        <v>57000</v>
      </c>
      <c r="E72" s="10">
        <v>64000</v>
      </c>
      <c r="F72" s="10">
        <f>E72+(E72*0)</f>
        <v>64000</v>
      </c>
    </row>
    <row r="73" spans="1:19" x14ac:dyDescent="0.3">
      <c r="A73" s="3" t="s">
        <v>193</v>
      </c>
      <c r="B73" s="3" t="s">
        <v>194</v>
      </c>
      <c r="C73" s="10"/>
      <c r="D73" s="10">
        <v>55000</v>
      </c>
      <c r="E73" s="10">
        <v>57750</v>
      </c>
      <c r="F73" s="10">
        <f>(E73/12)*3</f>
        <v>14437.5</v>
      </c>
    </row>
    <row r="74" spans="1:19" x14ac:dyDescent="0.3">
      <c r="A74" s="3" t="s">
        <v>146</v>
      </c>
      <c r="B74" s="3" t="s">
        <v>146</v>
      </c>
      <c r="C74" s="10"/>
      <c r="D74" s="10"/>
      <c r="E74" s="10"/>
      <c r="F74" s="10">
        <f>(1200*5)</f>
        <v>6000</v>
      </c>
    </row>
    <row r="75" spans="1:19" x14ac:dyDescent="0.3">
      <c r="A75" s="3" t="s">
        <v>195</v>
      </c>
      <c r="B75" s="3" t="s">
        <v>147</v>
      </c>
      <c r="C75" s="10"/>
      <c r="D75" s="10"/>
      <c r="E75" s="10"/>
      <c r="F75" s="10">
        <v>60000</v>
      </c>
      <c r="G75" s="22"/>
    </row>
    <row r="76" spans="1:19" x14ac:dyDescent="0.3">
      <c r="A76" s="25"/>
      <c r="B76" s="25"/>
      <c r="C76" s="27">
        <f>SUM(C61:C75)</f>
        <v>622200</v>
      </c>
      <c r="D76" s="27">
        <f>SUM(D61:D73)</f>
        <v>862862.5</v>
      </c>
      <c r="E76" s="27">
        <f>SUM(E61:E73)</f>
        <v>1022853.125</v>
      </c>
      <c r="F76" s="27">
        <f>SUM(F61:F75)</f>
        <v>935243.75</v>
      </c>
      <c r="G76" s="22"/>
    </row>
    <row r="77" spans="1:19" x14ac:dyDescent="0.3">
      <c r="E77" s="22"/>
      <c r="G77" s="22"/>
      <c r="S77" s="14"/>
    </row>
    <row r="78" spans="1:19" x14ac:dyDescent="0.3">
      <c r="A78" s="80" t="s">
        <v>196</v>
      </c>
      <c r="G78" s="118"/>
    </row>
    <row r="79" spans="1:19" x14ac:dyDescent="0.3">
      <c r="D79" s="34"/>
      <c r="E79" s="22"/>
      <c r="F79" s="22"/>
      <c r="G79" s="14"/>
      <c r="J79" s="4"/>
    </row>
    <row r="80" spans="1:19" x14ac:dyDescent="0.3">
      <c r="D80" s="34"/>
      <c r="E80" s="22"/>
      <c r="F80" s="22"/>
      <c r="M80" s="14"/>
    </row>
    <row r="81" spans="2:14" x14ac:dyDescent="0.3">
      <c r="D81" s="34"/>
      <c r="E81" s="22"/>
      <c r="F81" s="22"/>
      <c r="M81" s="14"/>
    </row>
    <row r="82" spans="2:14" x14ac:dyDescent="0.3">
      <c r="E82" s="22"/>
      <c r="M82" s="14"/>
    </row>
    <row r="83" spans="2:14" x14ac:dyDescent="0.3">
      <c r="B83" s="22"/>
      <c r="N83" s="14"/>
    </row>
    <row r="84" spans="2:14" x14ac:dyDescent="0.3">
      <c r="B84" s="1" t="s">
        <v>197</v>
      </c>
      <c r="C84" s="1" t="s">
        <v>198</v>
      </c>
      <c r="D84" s="1" t="s">
        <v>199</v>
      </c>
      <c r="E84" s="1" t="s">
        <v>200</v>
      </c>
      <c r="F84" s="1" t="s">
        <v>201</v>
      </c>
      <c r="G84" s="1" t="s">
        <v>202</v>
      </c>
      <c r="M84" s="14"/>
      <c r="N84" s="14"/>
    </row>
    <row r="85" spans="2:14" x14ac:dyDescent="0.3">
      <c r="B85" s="1" t="s">
        <v>203</v>
      </c>
      <c r="C85" s="22">
        <f>SUM(I41,I42,I43,I44,I45,I46,I47,I48,I49,I50,I51,I52,I53,I54)*2</f>
        <v>81084.819347319353</v>
      </c>
      <c r="D85" s="22">
        <f>SUM(L22,L23,L24,L25,L26,L27,L28,L29,L30,L31,L32,L33,L34,L35)</f>
        <v>10134.076571428572</v>
      </c>
      <c r="E85" s="22">
        <f>SUM(G3,G4,G5,G6,G7,G8,G9,G10,G11,G12,G13,G14,G15)</f>
        <v>3409.510416666667</v>
      </c>
      <c r="F85" s="22">
        <f>SUM(E3,E4,E5,E6,E7,E8,E9,E10,E11,E12,E13,E14,E15,E16)*2</f>
        <v>7508.6683675699287</v>
      </c>
      <c r="G85" s="14">
        <f>COUNT(I41,I42,I43,I44,I45,I46,I47,I48,I49,I50,I51,I52,I53,I54)</f>
        <v>14</v>
      </c>
      <c r="M85" s="14"/>
      <c r="N85" s="14"/>
    </row>
    <row r="86" spans="2:14" x14ac:dyDescent="0.3">
      <c r="B86" s="1" t="s">
        <v>204</v>
      </c>
      <c r="C86" s="22">
        <f>SUM(I41,I42,I43,I44,I45,I46,I47,I48,I49,I50,I51,I52,I53,I54)*2</f>
        <v>81084.819347319353</v>
      </c>
      <c r="D86" s="22">
        <f>SUM(L22,L23,L24,L25,L26,L27,L28,L29,L30,L31,L32,L33,L34,L35)</f>
        <v>10134.076571428572</v>
      </c>
      <c r="E86" s="22">
        <f>SUM(G3,G4,G5,G6,G7,G8,G9,G10,G11,G12,G13,G14,G15)</f>
        <v>3409.510416666667</v>
      </c>
      <c r="F86" s="22">
        <f>SUM(E3,E4,E5,E6,E7,E8,E9,E10,E11,E12,E13,E14,E15,E16)*2</f>
        <v>7508.6683675699287</v>
      </c>
      <c r="G86" s="14">
        <f>COUNT(I41,I42,I43,I44,I45,I46,I47,I48,I49,I50,I51,I52,I53,I54)</f>
        <v>14</v>
      </c>
      <c r="M86" s="14"/>
      <c r="N86" s="14"/>
    </row>
    <row r="87" spans="2:14" x14ac:dyDescent="0.3">
      <c r="B87" s="1" t="s">
        <v>205</v>
      </c>
      <c r="C87" s="22">
        <f>SUM(I41,I42,I43,I44,I45,I46,I47,I48,I49,I50,I51,I52,I53,I54,I55)*2</f>
        <v>86539.364801864809</v>
      </c>
      <c r="D87" s="22">
        <f>SUM(L22,L23,L24,L25,L26,L27,L28,L29,L30,L31,L32,L33,L34,L35,L36)</f>
        <v>10773.274000000001</v>
      </c>
      <c r="E87" s="22">
        <f>SUM(G3,G4,G5,G6,G7,G8,G9,G10,G11,G12,G13,G14,G15,G17)</f>
        <v>3529.510416666667</v>
      </c>
      <c r="F87" s="22">
        <f>SUM(E3,E4,E5,E6,E7,E8,E9,E10,E11,E12,E13,E14,E15,E16,E17)*2</f>
        <v>7967.6683675699287</v>
      </c>
      <c r="G87" s="14">
        <f>COUNT(I41,I42,I43,I44,I45,I46,I47,I48,I49,I50,I51,I52,I53,I54,I55)</f>
        <v>15</v>
      </c>
      <c r="H87" s="1" t="s">
        <v>206</v>
      </c>
      <c r="I87" s="14"/>
      <c r="J87" s="14"/>
      <c r="K87" s="14"/>
      <c r="L87" s="14"/>
      <c r="M87" s="14"/>
      <c r="N87" s="14"/>
    </row>
    <row r="88" spans="2:14" x14ac:dyDescent="0.3">
      <c r="B88" s="1" t="s">
        <v>207</v>
      </c>
      <c r="C88" s="22">
        <f>SUM(I41,I42,I43,I44,I45,I47,I48,I49,I50,I52,I54,I55)*3</f>
        <v>104207.4847027972</v>
      </c>
      <c r="D88" s="22">
        <f>SUM(L22,L23,L24,L25,L26,L28,L29,L30,L31,L33,L35,L36)</f>
        <v>9380.8077142857146</v>
      </c>
      <c r="E88" s="22">
        <f>SUM(G3,G4,G5,G6,G7,G9,G10,G11,G12,G14,G17)</f>
        <v>2846.8020833333335</v>
      </c>
      <c r="F88" s="22">
        <f>SUM(E3,E4,E5,E6,E7,E9,E10,E11,E12,E14,E16,E17)*3</f>
        <v>8034.4634888548944</v>
      </c>
      <c r="G88" s="14">
        <f>COUNT(I41,I42,I43,I44,I45,I47,I48,I49,I50,I52,I54,I55)</f>
        <v>12</v>
      </c>
      <c r="H88" s="1" t="s">
        <v>208</v>
      </c>
      <c r="I88" s="14"/>
      <c r="J88" s="14"/>
      <c r="K88" s="14"/>
      <c r="L88" s="14"/>
      <c r="M88" s="14"/>
      <c r="N88" s="14"/>
    </row>
    <row r="89" spans="2:14" x14ac:dyDescent="0.3">
      <c r="B89" s="1" t="s">
        <v>86</v>
      </c>
      <c r="C89" s="22">
        <f>SUM(I41,I42,I43,I44,I45,I47,I48,I49,I50,I52,I54,I55)*2</f>
        <v>69471.656468531466</v>
      </c>
      <c r="D89" s="22">
        <f>SUM(L22,L23,L24,L25,L26,L28,L29,L30,L31,L33,L35,L36)</f>
        <v>9380.8077142857146</v>
      </c>
      <c r="E89" s="22">
        <f>SUM(G3,G4,G5,G6,G7,G9,G10,G11,G12,G14,G17)</f>
        <v>2846.8020833333335</v>
      </c>
      <c r="F89" s="22">
        <f>SUM(E3,E4,E5,E6,E7,E9,E10,E11,E12,E14,E16,E17)*2</f>
        <v>5356.3089925699296</v>
      </c>
      <c r="G89" s="14">
        <f>COUNT(I41,I42,I43,I44,I45,I47,I48,I49,I50,I52,I54,I55)</f>
        <v>12</v>
      </c>
      <c r="I89" s="14"/>
      <c r="J89" s="14"/>
      <c r="K89" s="14"/>
      <c r="L89" s="14"/>
      <c r="M89" s="14"/>
      <c r="N89" s="14"/>
    </row>
    <row r="90" spans="2:14" x14ac:dyDescent="0.3">
      <c r="B90" s="1" t="s">
        <v>209</v>
      </c>
      <c r="C90" s="22">
        <f>SUM(I41,I42,I43,I44,I45,I47,I48,I49,I50,I52,I55)*2</f>
        <v>68380.747377622378</v>
      </c>
      <c r="D90" s="22">
        <f>SUM(L22,L23,L24,L25,L26,L28,L29,L30,L31,L33,L35,L36)</f>
        <v>9380.8077142857146</v>
      </c>
      <c r="E90" s="22">
        <f>SUM(G3,G4,G5,G6,G7,G9,G10,G11,G12,G14,G17)</f>
        <v>2846.8020833333335</v>
      </c>
      <c r="F90" s="22">
        <f>SUM(E3,E4,E5,E6,E7,E9,E10,E11,E12,E14,E16,E17)*2</f>
        <v>5356.3089925699296</v>
      </c>
      <c r="G90" s="14">
        <f>COUNT(I41,I42,I43,I44,I45,I47,I48,I49,I50,I52,I55)</f>
        <v>11</v>
      </c>
      <c r="H90" s="1" t="s">
        <v>210</v>
      </c>
      <c r="I90" s="14"/>
      <c r="J90" s="14"/>
      <c r="K90" s="14"/>
      <c r="L90" s="14"/>
      <c r="M90" s="14"/>
      <c r="N90" s="14"/>
    </row>
    <row r="91" spans="2:14" x14ac:dyDescent="0.3">
      <c r="B91" s="1" t="s">
        <v>211</v>
      </c>
      <c r="C91" s="22">
        <f>SUM(I41,I42,I43,I44,I45,I47,I48,I49,I50,I52,I55)*2</f>
        <v>68380.747377622378</v>
      </c>
      <c r="D91" s="22">
        <f>SUM(L22,L23,L24,L25,L26,L28,L29,L30,L31,L33,L35,L36)</f>
        <v>9380.8077142857146</v>
      </c>
      <c r="E91" s="22">
        <f>SUM(G3,G4,G5,G6,G7,G9,G10,G11,G12,G14,G17)</f>
        <v>2846.8020833333335</v>
      </c>
      <c r="F91" s="22">
        <f>SUM(E3,E4,E5,E6,E7,E9,E10,E11,E12,E14,E16,E17)*2</f>
        <v>5356.3089925699296</v>
      </c>
      <c r="G91" s="14">
        <f>COUNT(I41,I42,I43,I44,I45,I47,I48,I49,I50,I52,I55)</f>
        <v>11</v>
      </c>
      <c r="I91" s="14"/>
      <c r="J91" s="14"/>
      <c r="K91" s="14"/>
      <c r="L91" s="14"/>
      <c r="M91" s="14"/>
    </row>
    <row r="92" spans="2:14" x14ac:dyDescent="0.3">
      <c r="B92" s="1" t="s">
        <v>212</v>
      </c>
      <c r="C92" s="22">
        <f>SUM(I41,I42,I43,I44,I45,I47,I48,I49,I50,I52,I55)*2</f>
        <v>68380.747377622378</v>
      </c>
      <c r="D92" s="22">
        <f>SUM(L22,L23,L24,L25,L26,L28,L29,L30,L31,L33,L35,L36)</f>
        <v>9380.8077142857146</v>
      </c>
      <c r="E92" s="22">
        <f>SUM(G3,G4,G5,G6,G7,G9,G10,G11,G12,G14,G17)</f>
        <v>2846.8020833333335</v>
      </c>
      <c r="F92" s="22">
        <f>SUM(E3,E4,E5,E6,E7,E9,E10,E11,E12,E14,E16,E17)*2</f>
        <v>5356.3089925699296</v>
      </c>
      <c r="G92" s="14">
        <f>COUNT(I41,I42,I43,I44,I45,I47,I48,I49,I50,I52,I55)</f>
        <v>11</v>
      </c>
      <c r="I92" s="14"/>
      <c r="J92" s="14"/>
      <c r="K92" s="14"/>
      <c r="L92" s="14"/>
      <c r="M92" s="14"/>
    </row>
    <row r="93" spans="2:14" x14ac:dyDescent="0.3">
      <c r="B93" s="1" t="s">
        <v>213</v>
      </c>
      <c r="C93" s="22">
        <f>SUM(I41,I42,I43,I44,I45,I47,I48,I49,I50,I52,I55)*2</f>
        <v>68380.747377622378</v>
      </c>
      <c r="D93" s="22">
        <f>SUM(L22,L23,L24,L25,L26,L28,L29,L30,L31,L33,L35,L36)</f>
        <v>9380.8077142857146</v>
      </c>
      <c r="E93" s="22">
        <f>SUM(G3,G4,G5,G6,G7,G9,G10,G11,G12,G14,G17)</f>
        <v>2846.8020833333335</v>
      </c>
      <c r="F93" s="22">
        <f>SUM(E3,E4,E5,E6,E7,E9,E10,E11,E12,E14,E16,E17)*2</f>
        <v>5356.3089925699296</v>
      </c>
      <c r="G93" s="14">
        <f>COUNT(I41,I42,I43,I44,I45,I47,I48,I49,I50,I52,I55)</f>
        <v>11</v>
      </c>
      <c r="I93" s="14"/>
      <c r="J93" s="14"/>
      <c r="K93" s="14"/>
      <c r="L93" s="14"/>
      <c r="M93" s="14"/>
    </row>
    <row r="94" spans="2:14" x14ac:dyDescent="0.3">
      <c r="B94" s="1" t="s">
        <v>214</v>
      </c>
      <c r="C94" s="22">
        <f>SUM(I41,I42,I43,I44,I45,I47,I48,I49,I50,I52,I55)*3</f>
        <v>102571.12106643357</v>
      </c>
      <c r="D94" s="22">
        <f>SUM(L22,L23,L24,L25,L26,L28,L29,L30,L31,L33,L35,L36)</f>
        <v>9380.8077142857146</v>
      </c>
      <c r="E94" s="22">
        <f>SUM(G3,G4,G5,G6,G7,G9,G10,G11,G12,G14,G17)</f>
        <v>2846.8020833333335</v>
      </c>
      <c r="F94" s="22">
        <f>SUM(E3,E4,E5,E6,E7,E9,E10,E11,E12,E14,E16,E17)*3</f>
        <v>8034.4634888548944</v>
      </c>
      <c r="G94" s="14">
        <f>COUNT(I41,I42,I43,I44,I45,I47,I48,I49,I50,I52,I55)</f>
        <v>11</v>
      </c>
    </row>
    <row r="95" spans="2:14" x14ac:dyDescent="0.3">
      <c r="B95" s="1" t="s">
        <v>215</v>
      </c>
      <c r="C95" s="22">
        <f>SUM(I41,I42,I43,I44,I45,I47,I48,I49,I50,I52,I55)*2</f>
        <v>68380.747377622378</v>
      </c>
      <c r="D95" s="22">
        <f>SUM(L22,L23,L24,L25,L26,L28,L29,L30,L31,L33,L35,L36)</f>
        <v>9380.8077142857146</v>
      </c>
      <c r="E95" s="22">
        <f>SUM(G3,G4,G5,G6,G7,G9,G10,G11,G12,G14,G17)</f>
        <v>2846.8020833333335</v>
      </c>
      <c r="F95" s="22">
        <f>SUM(E3,E4,E5,E6,E7,E9,E10,E11,E12,E14,E16,E17)*2</f>
        <v>5356.3089925699296</v>
      </c>
      <c r="G95" s="14">
        <f>COUNT(I41,I42,I43,I44,I45,I47,I48,I49,I50,I52,I55)</f>
        <v>11</v>
      </c>
    </row>
    <row r="96" spans="2:14" x14ac:dyDescent="0.3">
      <c r="B96" s="1" t="s">
        <v>216</v>
      </c>
      <c r="C96" s="22">
        <f>SUM(I41,I42,I43,I44,I45,I47,I48,I49,I50,I52,I55)*2</f>
        <v>68380.747377622378</v>
      </c>
      <c r="D96" s="22">
        <f>SUM(L22,L23,L24,L25,L26,L28,L29,L30,L31,L33,L35,L36)</f>
        <v>9380.8077142857146</v>
      </c>
      <c r="E96" s="22">
        <f>SUM(G3,G4,G5,G6,G7,G9,G10,G11,G12,G14,G17)</f>
        <v>2846.8020833333335</v>
      </c>
      <c r="F96" s="22">
        <f>SUM(E3,E4,E5,E6,E7,E9,E10,E11,E12,E14,E16,E17)*2</f>
        <v>5356.3089925699296</v>
      </c>
      <c r="G96" s="14">
        <f>COUNT(I41,I42,I43,I44,I45,I47,I48,I49,I50,I52,I55)</f>
        <v>11</v>
      </c>
    </row>
    <row r="97" spans="2:6" x14ac:dyDescent="0.3">
      <c r="B97" s="100" t="s">
        <v>217</v>
      </c>
      <c r="C97" s="101">
        <f>SUM(C85:C96)</f>
        <v>935243.75000000023</v>
      </c>
      <c r="D97" s="101">
        <f>SUM(D85:D96)</f>
        <v>115468.69657142853</v>
      </c>
      <c r="E97" s="101">
        <f>SUM(E85:E96)</f>
        <v>35969.75</v>
      </c>
      <c r="F97" s="101">
        <f>SUM(F85:F96)</f>
        <v>76548.095028409094</v>
      </c>
    </row>
    <row r="99" spans="2:6" x14ac:dyDescent="0.3">
      <c r="C99" s="22"/>
    </row>
    <row r="102" spans="2:6" x14ac:dyDescent="0.3">
      <c r="D102" s="14"/>
      <c r="E102" s="14"/>
    </row>
    <row r="103" spans="2:6" x14ac:dyDescent="0.3">
      <c r="D103" s="14"/>
      <c r="E103" s="14"/>
    </row>
    <row r="104" spans="2:6" x14ac:dyDescent="0.3">
      <c r="D104" s="14"/>
      <c r="E104" s="14"/>
    </row>
    <row r="105" spans="2:6" x14ac:dyDescent="0.3">
      <c r="D105" s="14"/>
      <c r="E105" s="14"/>
    </row>
    <row r="106" spans="2:6" x14ac:dyDescent="0.3">
      <c r="D106" s="14"/>
      <c r="E106" s="14"/>
    </row>
    <row r="107" spans="2:6" x14ac:dyDescent="0.3">
      <c r="D107" s="14"/>
      <c r="E107" s="14"/>
    </row>
    <row r="108" spans="2:6" x14ac:dyDescent="0.3">
      <c r="D108" s="14"/>
      <c r="E108" s="14"/>
    </row>
    <row r="109" spans="2:6" x14ac:dyDescent="0.3">
      <c r="D109" s="14"/>
      <c r="E109" s="14"/>
    </row>
    <row r="110" spans="2:6" x14ac:dyDescent="0.3">
      <c r="D110" s="14"/>
      <c r="E110" s="14"/>
    </row>
    <row r="111" spans="2:6" x14ac:dyDescent="0.3">
      <c r="D111" s="14"/>
      <c r="E111" s="14"/>
    </row>
    <row r="112" spans="2:6" x14ac:dyDescent="0.3">
      <c r="D112" s="14"/>
      <c r="E112" s="14"/>
    </row>
    <row r="113" spans="4:5" x14ac:dyDescent="0.3">
      <c r="D113" s="14"/>
      <c r="E113" s="14"/>
    </row>
    <row r="114" spans="4:5" x14ac:dyDescent="0.3">
      <c r="D114" s="14"/>
      <c r="E114" s="14"/>
    </row>
  </sheetData>
  <phoneticPr fontId="2" type="noConversion"/>
  <pageMargins left="0.2" right="0.23" top="1" bottom="1" header="0.5" footer="0.5"/>
  <pageSetup scale="44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BA08C-A57C-4AC0-B786-20350EB52CA1}">
  <dimension ref="A1:I7"/>
  <sheetViews>
    <sheetView zoomScale="110" zoomScaleNormal="110" workbookViewId="0">
      <selection activeCell="B23" sqref="B23"/>
    </sheetView>
  </sheetViews>
  <sheetFormatPr defaultRowHeight="13.2" x14ac:dyDescent="0.25"/>
  <cols>
    <col min="1" max="1" width="44.6640625" bestFit="1" customWidth="1"/>
    <col min="2" max="2" width="32" customWidth="1"/>
    <col min="3" max="3" width="16.109375" customWidth="1"/>
    <col min="4" max="5" width="19.5546875" customWidth="1"/>
    <col min="6" max="6" width="31.33203125" customWidth="1"/>
    <col min="7" max="7" width="17.6640625" bestFit="1" customWidth="1"/>
    <col min="8" max="8" width="35.88671875" bestFit="1" customWidth="1"/>
    <col min="9" max="9" width="74.5546875" customWidth="1"/>
  </cols>
  <sheetData>
    <row r="1" spans="1:9" x14ac:dyDescent="0.25">
      <c r="A1" s="36" t="s">
        <v>218</v>
      </c>
      <c r="B1" s="36" t="s">
        <v>219</v>
      </c>
      <c r="C1" s="83" t="s">
        <v>220</v>
      </c>
      <c r="D1" s="83" t="s">
        <v>221</v>
      </c>
      <c r="E1" s="83" t="s">
        <v>222</v>
      </c>
      <c r="F1" s="84" t="s">
        <v>223</v>
      </c>
      <c r="G1" s="36" t="s">
        <v>224</v>
      </c>
      <c r="H1" s="36" t="s">
        <v>225</v>
      </c>
      <c r="I1" s="36" t="s">
        <v>58</v>
      </c>
    </row>
    <row r="2" spans="1:9" x14ac:dyDescent="0.25">
      <c r="A2" t="s">
        <v>226</v>
      </c>
      <c r="C2" s="81"/>
      <c r="D2" s="133">
        <v>2000</v>
      </c>
      <c r="E2" s="134">
        <f>D2</f>
        <v>2000</v>
      </c>
      <c r="F2" s="82"/>
      <c r="G2" s="86" t="s">
        <v>227</v>
      </c>
      <c r="H2" t="s">
        <v>228</v>
      </c>
    </row>
    <row r="3" spans="1:9" x14ac:dyDescent="0.25">
      <c r="A3" t="s">
        <v>229</v>
      </c>
      <c r="B3" t="s">
        <v>230</v>
      </c>
      <c r="C3" s="81"/>
      <c r="D3" s="18">
        <v>2000</v>
      </c>
      <c r="E3" s="19">
        <f>D3</f>
        <v>2000</v>
      </c>
      <c r="F3" s="82"/>
      <c r="G3" s="86" t="s">
        <v>227</v>
      </c>
      <c r="H3" t="s">
        <v>228</v>
      </c>
    </row>
    <row r="4" spans="1:9" x14ac:dyDescent="0.25">
      <c r="A4" s="13" t="s">
        <v>231</v>
      </c>
      <c r="B4" s="13" t="s">
        <v>232</v>
      </c>
      <c r="C4" s="89"/>
      <c r="D4" s="19">
        <v>2300</v>
      </c>
      <c r="E4" s="19">
        <f>D4</f>
        <v>2300</v>
      </c>
      <c r="F4" s="17"/>
      <c r="G4" s="90" t="s">
        <v>233</v>
      </c>
      <c r="H4" s="13" t="s">
        <v>228</v>
      </c>
    </row>
    <row r="7" spans="1:9" x14ac:dyDescent="0.25">
      <c r="D7" s="135" t="s">
        <v>217</v>
      </c>
      <c r="E7" s="131">
        <f>SUM(E2:E4)</f>
        <v>6300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BCB80-45E2-4AB1-9509-6D629E2608AB}">
  <dimension ref="A1:I7"/>
  <sheetViews>
    <sheetView zoomScale="110" zoomScaleNormal="110" workbookViewId="0">
      <selection activeCell="E25" sqref="E25"/>
    </sheetView>
  </sheetViews>
  <sheetFormatPr defaultRowHeight="13.2" x14ac:dyDescent="0.25"/>
  <cols>
    <col min="1" max="1" width="44.6640625" bestFit="1" customWidth="1"/>
    <col min="2" max="2" width="32" customWidth="1"/>
    <col min="3" max="3" width="16.109375" customWidth="1"/>
    <col min="4" max="5" width="19.5546875" customWidth="1"/>
    <col min="6" max="6" width="31.33203125" customWidth="1"/>
    <col min="7" max="7" width="17.6640625" bestFit="1" customWidth="1"/>
    <col min="8" max="8" width="35.88671875" bestFit="1" customWidth="1"/>
    <col min="9" max="9" width="74.5546875" customWidth="1"/>
  </cols>
  <sheetData>
    <row r="1" spans="1:9" x14ac:dyDescent="0.25">
      <c r="A1" s="36" t="s">
        <v>218</v>
      </c>
      <c r="B1" s="36" t="s">
        <v>219</v>
      </c>
      <c r="C1" s="83" t="s">
        <v>220</v>
      </c>
      <c r="D1" s="83" t="s">
        <v>221</v>
      </c>
      <c r="E1" s="83" t="s">
        <v>222</v>
      </c>
      <c r="F1" s="84" t="s">
        <v>223</v>
      </c>
      <c r="G1" s="36" t="s">
        <v>224</v>
      </c>
      <c r="H1" s="36" t="s">
        <v>225</v>
      </c>
      <c r="I1" s="36" t="s">
        <v>58</v>
      </c>
    </row>
    <row r="2" spans="1:9" x14ac:dyDescent="0.25">
      <c r="A2" t="s">
        <v>234</v>
      </c>
      <c r="B2" t="s">
        <v>235</v>
      </c>
      <c r="C2" s="81">
        <v>240</v>
      </c>
      <c r="D2" s="81">
        <v>295</v>
      </c>
      <c r="E2" s="89">
        <f>(C2*12)+D2</f>
        <v>3175</v>
      </c>
      <c r="F2" s="82"/>
      <c r="G2" s="85" t="s">
        <v>236</v>
      </c>
      <c r="H2" t="s">
        <v>18</v>
      </c>
      <c r="I2" s="13" t="s">
        <v>237</v>
      </c>
    </row>
    <row r="3" spans="1:9" x14ac:dyDescent="0.25">
      <c r="A3" t="s">
        <v>238</v>
      </c>
      <c r="B3" t="s">
        <v>239</v>
      </c>
      <c r="C3" s="81">
        <v>258</v>
      </c>
      <c r="D3" s="81"/>
      <c r="E3" s="89">
        <f>C3*12</f>
        <v>3096</v>
      </c>
      <c r="F3" s="82"/>
      <c r="G3" s="85" t="s">
        <v>236</v>
      </c>
      <c r="H3" t="s">
        <v>18</v>
      </c>
      <c r="I3" s="13"/>
    </row>
    <row r="4" spans="1:9" x14ac:dyDescent="0.25">
      <c r="B4" t="s">
        <v>240</v>
      </c>
      <c r="C4" s="81">
        <v>75</v>
      </c>
      <c r="D4" s="81">
        <v>125</v>
      </c>
      <c r="E4" s="89">
        <f>(C4*12)+D4</f>
        <v>1025</v>
      </c>
      <c r="F4" s="82"/>
      <c r="G4" s="85" t="s">
        <v>236</v>
      </c>
      <c r="H4" t="s">
        <v>18</v>
      </c>
      <c r="I4" s="13"/>
    </row>
    <row r="5" spans="1:9" x14ac:dyDescent="0.25">
      <c r="A5" t="s">
        <v>241</v>
      </c>
      <c r="B5" t="s">
        <v>242</v>
      </c>
      <c r="C5" s="81"/>
      <c r="D5" s="81">
        <v>3000</v>
      </c>
      <c r="E5" s="89">
        <f>D5</f>
        <v>3000</v>
      </c>
      <c r="F5" s="82"/>
      <c r="G5" s="85" t="s">
        <v>236</v>
      </c>
      <c r="H5" t="s">
        <v>18</v>
      </c>
      <c r="I5" s="13" t="s">
        <v>243</v>
      </c>
    </row>
    <row r="7" spans="1:9" x14ac:dyDescent="0.25">
      <c r="D7" s="135" t="s">
        <v>217</v>
      </c>
      <c r="E7" s="131">
        <f>SUM(E2:E5)</f>
        <v>10296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631C8-C70B-4D6C-B48D-FBD9D64D7649}">
  <dimension ref="A1:I5"/>
  <sheetViews>
    <sheetView zoomScale="110" zoomScaleNormal="110" workbookViewId="0">
      <selection activeCell="D18" sqref="D18"/>
    </sheetView>
  </sheetViews>
  <sheetFormatPr defaultRowHeight="13.2" x14ac:dyDescent="0.25"/>
  <cols>
    <col min="1" max="1" width="44.6640625" bestFit="1" customWidth="1"/>
    <col min="2" max="2" width="32" customWidth="1"/>
    <col min="3" max="3" width="16.109375" customWidth="1"/>
    <col min="4" max="5" width="19.5546875" customWidth="1"/>
    <col min="6" max="6" width="31.33203125" customWidth="1"/>
    <col min="7" max="7" width="17.6640625" bestFit="1" customWidth="1"/>
    <col min="8" max="8" width="35.88671875" bestFit="1" customWidth="1"/>
    <col min="9" max="9" width="74.5546875" customWidth="1"/>
  </cols>
  <sheetData>
    <row r="1" spans="1:9" x14ac:dyDescent="0.25">
      <c r="A1" s="36" t="s">
        <v>218</v>
      </c>
      <c r="B1" s="36" t="s">
        <v>219</v>
      </c>
      <c r="C1" s="83" t="s">
        <v>220</v>
      </c>
      <c r="D1" s="83" t="s">
        <v>221</v>
      </c>
      <c r="E1" s="83" t="s">
        <v>222</v>
      </c>
      <c r="F1" s="84" t="s">
        <v>223</v>
      </c>
      <c r="G1" s="36" t="s">
        <v>224</v>
      </c>
      <c r="H1" s="36" t="s">
        <v>225</v>
      </c>
      <c r="I1" s="36" t="s">
        <v>58</v>
      </c>
    </row>
    <row r="2" spans="1:9" x14ac:dyDescent="0.25">
      <c r="A2" t="s">
        <v>244</v>
      </c>
      <c r="B2" t="s">
        <v>245</v>
      </c>
      <c r="C2" s="18">
        <v>800</v>
      </c>
      <c r="D2" s="18"/>
      <c r="E2" s="19">
        <f>C2*12</f>
        <v>9600</v>
      </c>
      <c r="F2" s="82"/>
      <c r="G2" s="85" t="s">
        <v>236</v>
      </c>
      <c r="H2" t="s">
        <v>246</v>
      </c>
    </row>
    <row r="3" spans="1:9" x14ac:dyDescent="0.25">
      <c r="A3" s="13" t="s">
        <v>247</v>
      </c>
      <c r="B3" t="s">
        <v>248</v>
      </c>
      <c r="C3" s="18"/>
      <c r="D3" s="18">
        <v>16000</v>
      </c>
      <c r="E3" s="19">
        <f>D3</f>
        <v>16000</v>
      </c>
      <c r="F3" s="82" t="s">
        <v>89</v>
      </c>
      <c r="G3" s="85" t="s">
        <v>236</v>
      </c>
      <c r="H3" t="s">
        <v>246</v>
      </c>
    </row>
    <row r="4" spans="1:9" x14ac:dyDescent="0.25">
      <c r="C4" s="18"/>
      <c r="D4" s="18"/>
      <c r="E4" s="18"/>
    </row>
    <row r="5" spans="1:9" x14ac:dyDescent="0.25">
      <c r="D5" s="135" t="s">
        <v>217</v>
      </c>
      <c r="E5" s="131">
        <f>SUM(E2:E3)</f>
        <v>25600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2B9D-3744-48AD-B0A3-D6EBF5F0B9FA}">
  <dimension ref="A1:I6"/>
  <sheetViews>
    <sheetView zoomScale="110" zoomScaleNormal="110" workbookViewId="0">
      <selection activeCell="D28" sqref="D28"/>
    </sheetView>
  </sheetViews>
  <sheetFormatPr defaultRowHeight="13.2" x14ac:dyDescent="0.25"/>
  <cols>
    <col min="1" max="1" width="44.6640625" bestFit="1" customWidth="1"/>
    <col min="2" max="2" width="32" customWidth="1"/>
    <col min="3" max="3" width="16.109375" customWidth="1"/>
    <col min="4" max="5" width="19.5546875" customWidth="1"/>
    <col min="6" max="6" width="31.33203125" customWidth="1"/>
    <col min="7" max="7" width="17.6640625" bestFit="1" customWidth="1"/>
    <col min="8" max="8" width="35.88671875" bestFit="1" customWidth="1"/>
    <col min="9" max="9" width="74.5546875" customWidth="1"/>
  </cols>
  <sheetData>
    <row r="1" spans="1:9" x14ac:dyDescent="0.25">
      <c r="A1" s="36" t="s">
        <v>218</v>
      </c>
      <c r="B1" s="36" t="s">
        <v>219</v>
      </c>
      <c r="C1" s="83" t="s">
        <v>220</v>
      </c>
      <c r="D1" s="83" t="s">
        <v>221</v>
      </c>
      <c r="E1" s="83" t="s">
        <v>222</v>
      </c>
      <c r="F1" s="84" t="s">
        <v>223</v>
      </c>
      <c r="G1" s="36" t="s">
        <v>224</v>
      </c>
      <c r="H1" s="36" t="s">
        <v>225</v>
      </c>
      <c r="I1" s="36" t="s">
        <v>58</v>
      </c>
    </row>
    <row r="2" spans="1:9" x14ac:dyDescent="0.25">
      <c r="A2" t="s">
        <v>249</v>
      </c>
      <c r="B2" t="s">
        <v>250</v>
      </c>
      <c r="C2" s="18">
        <v>2205</v>
      </c>
      <c r="D2" s="18"/>
      <c r="E2" s="19">
        <f>C2*12</f>
        <v>26460</v>
      </c>
      <c r="F2" s="82"/>
      <c r="G2" s="85" t="s">
        <v>236</v>
      </c>
      <c r="H2" t="s">
        <v>251</v>
      </c>
      <c r="I2" s="13" t="s">
        <v>252</v>
      </c>
    </row>
    <row r="3" spans="1:9" x14ac:dyDescent="0.25">
      <c r="A3" t="s">
        <v>195</v>
      </c>
      <c r="B3" t="s">
        <v>253</v>
      </c>
      <c r="C3" s="18"/>
      <c r="D3" s="18">
        <v>12000</v>
      </c>
      <c r="E3" s="19">
        <f>D3</f>
        <v>12000</v>
      </c>
      <c r="F3" s="82"/>
      <c r="G3" s="86" t="s">
        <v>227</v>
      </c>
      <c r="H3" t="s">
        <v>251</v>
      </c>
      <c r="I3" s="13" t="s">
        <v>254</v>
      </c>
    </row>
    <row r="4" spans="1:9" x14ac:dyDescent="0.25">
      <c r="A4" s="13" t="s">
        <v>255</v>
      </c>
      <c r="B4" s="13" t="s">
        <v>256</v>
      </c>
      <c r="C4" s="19"/>
      <c r="D4" s="19">
        <v>1100</v>
      </c>
      <c r="E4" s="19">
        <f>D4</f>
        <v>1100</v>
      </c>
      <c r="F4" s="17"/>
      <c r="G4" s="90" t="s">
        <v>233</v>
      </c>
      <c r="H4" s="13" t="s">
        <v>251</v>
      </c>
      <c r="I4" s="13" t="s">
        <v>257</v>
      </c>
    </row>
    <row r="6" spans="1:9" x14ac:dyDescent="0.25">
      <c r="D6" s="135" t="s">
        <v>217</v>
      </c>
      <c r="E6" s="131">
        <f>SUM(E2:E4)</f>
        <v>39560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14EB9-EBD7-4AA0-85BC-C6F348D02BC2}">
  <dimension ref="A1:I15"/>
  <sheetViews>
    <sheetView zoomScale="110" zoomScaleNormal="110" workbookViewId="0">
      <selection activeCell="C22" sqref="C22"/>
    </sheetView>
  </sheetViews>
  <sheetFormatPr defaultRowHeight="13.2" x14ac:dyDescent="0.25"/>
  <cols>
    <col min="1" max="1" width="44.6640625" bestFit="1" customWidth="1"/>
    <col min="2" max="2" width="32" customWidth="1"/>
    <col min="3" max="3" width="16.109375" customWidth="1"/>
    <col min="4" max="5" width="19.5546875" customWidth="1"/>
    <col min="6" max="6" width="31.33203125" customWidth="1"/>
    <col min="7" max="7" width="17.6640625" bestFit="1" customWidth="1"/>
    <col min="8" max="8" width="35.88671875" bestFit="1" customWidth="1"/>
    <col min="9" max="9" width="74.5546875" customWidth="1"/>
  </cols>
  <sheetData>
    <row r="1" spans="1:9" x14ac:dyDescent="0.25">
      <c r="A1" s="36" t="s">
        <v>218</v>
      </c>
      <c r="B1" s="36" t="s">
        <v>219</v>
      </c>
      <c r="C1" s="83" t="s">
        <v>220</v>
      </c>
      <c r="D1" s="83" t="s">
        <v>221</v>
      </c>
      <c r="E1" s="83" t="s">
        <v>222</v>
      </c>
      <c r="F1" s="84" t="s">
        <v>223</v>
      </c>
      <c r="G1" s="36" t="s">
        <v>224</v>
      </c>
      <c r="H1" s="36" t="s">
        <v>225</v>
      </c>
      <c r="I1" s="36" t="s">
        <v>58</v>
      </c>
    </row>
    <row r="2" spans="1:9" x14ac:dyDescent="0.25">
      <c r="A2" s="13" t="s">
        <v>258</v>
      </c>
      <c r="B2" s="36"/>
      <c r="C2" s="134">
        <v>207.87</v>
      </c>
      <c r="D2" s="131"/>
      <c r="E2" s="19">
        <f>C2*12</f>
        <v>2494.44</v>
      </c>
      <c r="F2" s="84"/>
      <c r="G2" s="85" t="s">
        <v>236</v>
      </c>
      <c r="H2" s="13" t="s">
        <v>259</v>
      </c>
      <c r="I2" s="13" t="s">
        <v>260</v>
      </c>
    </row>
    <row r="3" spans="1:9" x14ac:dyDescent="0.25">
      <c r="A3" t="s">
        <v>261</v>
      </c>
      <c r="C3" s="18"/>
      <c r="D3" s="18">
        <v>6401.76</v>
      </c>
      <c r="E3" s="19">
        <f>D3</f>
        <v>6401.76</v>
      </c>
      <c r="F3" s="82" t="s">
        <v>95</v>
      </c>
      <c r="G3" s="85" t="s">
        <v>236</v>
      </c>
      <c r="H3" t="s">
        <v>259</v>
      </c>
    </row>
    <row r="4" spans="1:9" x14ac:dyDescent="0.25">
      <c r="A4" t="s">
        <v>262</v>
      </c>
      <c r="B4" t="s">
        <v>263</v>
      </c>
      <c r="C4" s="18"/>
      <c r="D4" s="18">
        <v>2553</v>
      </c>
      <c r="E4" s="19">
        <f>D4</f>
        <v>2553</v>
      </c>
      <c r="F4" s="82" t="s">
        <v>89</v>
      </c>
      <c r="G4" s="85" t="s">
        <v>236</v>
      </c>
      <c r="H4" t="s">
        <v>259</v>
      </c>
    </row>
    <row r="5" spans="1:9" x14ac:dyDescent="0.25">
      <c r="A5" t="s">
        <v>264</v>
      </c>
      <c r="C5" s="18">
        <v>69.98</v>
      </c>
      <c r="D5" s="18"/>
      <c r="E5" s="19">
        <f>C5*12</f>
        <v>839.76</v>
      </c>
      <c r="F5" s="82"/>
      <c r="G5" s="87" t="s">
        <v>265</v>
      </c>
      <c r="H5" t="s">
        <v>259</v>
      </c>
      <c r="I5" t="s">
        <v>266</v>
      </c>
    </row>
    <row r="6" spans="1:9" x14ac:dyDescent="0.25">
      <c r="A6" t="s">
        <v>267</v>
      </c>
      <c r="B6" t="s">
        <v>268</v>
      </c>
      <c r="C6" s="18"/>
      <c r="D6" s="18">
        <v>4095</v>
      </c>
      <c r="E6" s="19">
        <f>D6</f>
        <v>4095</v>
      </c>
      <c r="F6" s="82" t="s">
        <v>65</v>
      </c>
      <c r="G6" s="87" t="s">
        <v>265</v>
      </c>
      <c r="H6" t="s">
        <v>259</v>
      </c>
    </row>
    <row r="7" spans="1:9" x14ac:dyDescent="0.25">
      <c r="A7" t="s">
        <v>269</v>
      </c>
      <c r="B7" t="s">
        <v>270</v>
      </c>
      <c r="C7" s="18"/>
      <c r="D7" s="18">
        <v>1296</v>
      </c>
      <c r="E7" s="19">
        <f>D7</f>
        <v>1296</v>
      </c>
      <c r="F7" s="82" t="s">
        <v>103</v>
      </c>
      <c r="G7" s="87" t="s">
        <v>265</v>
      </c>
      <c r="H7" t="s">
        <v>259</v>
      </c>
      <c r="I7" t="s">
        <v>271</v>
      </c>
    </row>
    <row r="8" spans="1:9" x14ac:dyDescent="0.25">
      <c r="A8" t="s">
        <v>272</v>
      </c>
      <c r="B8" t="s">
        <v>273</v>
      </c>
      <c r="C8" s="18"/>
      <c r="D8" s="18">
        <v>749</v>
      </c>
      <c r="E8" s="19">
        <f>D8</f>
        <v>749</v>
      </c>
      <c r="F8" s="82" t="s">
        <v>76</v>
      </c>
      <c r="G8" s="87" t="s">
        <v>265</v>
      </c>
      <c r="H8" t="s">
        <v>259</v>
      </c>
    </row>
    <row r="9" spans="1:9" x14ac:dyDescent="0.25">
      <c r="A9" t="s">
        <v>274</v>
      </c>
      <c r="B9" t="s">
        <v>275</v>
      </c>
      <c r="C9" s="18">
        <v>155</v>
      </c>
      <c r="D9" s="18"/>
      <c r="E9" s="19">
        <f>C9*12</f>
        <v>1860</v>
      </c>
      <c r="F9" s="82"/>
      <c r="G9" s="87" t="s">
        <v>265</v>
      </c>
      <c r="H9" t="s">
        <v>259</v>
      </c>
      <c r="I9" t="s">
        <v>276</v>
      </c>
    </row>
    <row r="10" spans="1:9" x14ac:dyDescent="0.25">
      <c r="A10" t="s">
        <v>277</v>
      </c>
      <c r="B10" t="s">
        <v>278</v>
      </c>
      <c r="C10" s="18"/>
      <c r="D10" s="18">
        <v>294</v>
      </c>
      <c r="E10" s="19">
        <f>D10</f>
        <v>294</v>
      </c>
      <c r="F10" s="82"/>
      <c r="G10" s="87" t="s">
        <v>265</v>
      </c>
      <c r="H10" t="s">
        <v>259</v>
      </c>
      <c r="I10" t="s">
        <v>279</v>
      </c>
    </row>
    <row r="11" spans="1:9" x14ac:dyDescent="0.25">
      <c r="A11" s="13" t="s">
        <v>280</v>
      </c>
      <c r="B11" s="13" t="s">
        <v>281</v>
      </c>
      <c r="C11" s="19"/>
      <c r="D11" s="19">
        <v>720</v>
      </c>
      <c r="E11" s="19">
        <f>D11</f>
        <v>720</v>
      </c>
      <c r="F11" s="17"/>
      <c r="G11" s="90" t="s">
        <v>233</v>
      </c>
      <c r="H11" s="13" t="s">
        <v>259</v>
      </c>
      <c r="I11" s="13"/>
    </row>
    <row r="12" spans="1:9" x14ac:dyDescent="0.25">
      <c r="A12" s="13" t="s">
        <v>282</v>
      </c>
      <c r="B12" s="13" t="s">
        <v>283</v>
      </c>
      <c r="C12" s="19"/>
      <c r="D12" s="19">
        <v>312</v>
      </c>
      <c r="E12" s="19">
        <f>D12</f>
        <v>312</v>
      </c>
      <c r="F12" s="17"/>
      <c r="G12" s="90" t="s">
        <v>233</v>
      </c>
      <c r="H12" s="13" t="s">
        <v>259</v>
      </c>
      <c r="I12" s="13" t="s">
        <v>284</v>
      </c>
    </row>
    <row r="15" spans="1:9" x14ac:dyDescent="0.25">
      <c r="D15" s="135" t="s">
        <v>217</v>
      </c>
      <c r="E15" s="136">
        <f>SUM(E2:E12)</f>
        <v>21614.959999999999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1041D-F5F2-47F1-BB0F-BE14CADB8FBA}">
  <dimension ref="A1:I9"/>
  <sheetViews>
    <sheetView zoomScale="110" zoomScaleNormal="110" workbookViewId="0">
      <selection activeCell="A31" sqref="A31"/>
    </sheetView>
  </sheetViews>
  <sheetFormatPr defaultRowHeight="13.2" x14ac:dyDescent="0.25"/>
  <cols>
    <col min="1" max="1" width="44.6640625" bestFit="1" customWidth="1"/>
    <col min="2" max="2" width="32" customWidth="1"/>
    <col min="3" max="3" width="16.109375" customWidth="1"/>
    <col min="4" max="5" width="19.5546875" customWidth="1"/>
    <col min="6" max="6" width="31.33203125" customWidth="1"/>
    <col min="7" max="7" width="17.6640625" bestFit="1" customWidth="1"/>
    <col min="8" max="8" width="35.88671875" bestFit="1" customWidth="1"/>
    <col min="9" max="9" width="74.5546875" customWidth="1"/>
  </cols>
  <sheetData>
    <row r="1" spans="1:9" x14ac:dyDescent="0.25">
      <c r="A1" s="36" t="s">
        <v>218</v>
      </c>
      <c r="B1" s="36" t="s">
        <v>219</v>
      </c>
      <c r="C1" s="83" t="s">
        <v>220</v>
      </c>
      <c r="D1" s="83" t="s">
        <v>221</v>
      </c>
      <c r="E1" s="83" t="s">
        <v>222</v>
      </c>
      <c r="F1" s="84" t="s">
        <v>223</v>
      </c>
      <c r="G1" s="36" t="s">
        <v>224</v>
      </c>
      <c r="H1" s="36" t="s">
        <v>225</v>
      </c>
      <c r="I1" s="36" t="s">
        <v>58</v>
      </c>
    </row>
    <row r="2" spans="1:9" x14ac:dyDescent="0.25">
      <c r="A2" t="s">
        <v>285</v>
      </c>
      <c r="C2" s="81"/>
      <c r="D2" s="81">
        <v>500</v>
      </c>
      <c r="E2" s="89">
        <f t="shared" ref="E2:E7" si="0">D2</f>
        <v>500</v>
      </c>
      <c r="F2" s="82" t="s">
        <v>91</v>
      </c>
      <c r="G2" s="86" t="s">
        <v>227</v>
      </c>
      <c r="H2" t="s">
        <v>286</v>
      </c>
      <c r="I2" t="s">
        <v>287</v>
      </c>
    </row>
    <row r="3" spans="1:9" x14ac:dyDescent="0.25">
      <c r="A3" s="13" t="s">
        <v>288</v>
      </c>
      <c r="B3" s="13" t="s">
        <v>289</v>
      </c>
      <c r="C3" s="81"/>
      <c r="D3" s="81">
        <v>400</v>
      </c>
      <c r="E3" s="89">
        <f t="shared" si="0"/>
        <v>400</v>
      </c>
      <c r="F3" s="82" t="s">
        <v>89</v>
      </c>
      <c r="G3" s="99" t="s">
        <v>233</v>
      </c>
      <c r="H3" s="13" t="s">
        <v>286</v>
      </c>
    </row>
    <row r="4" spans="1:9" x14ac:dyDescent="0.25">
      <c r="A4" s="13" t="s">
        <v>290</v>
      </c>
      <c r="B4" s="13" t="s">
        <v>291</v>
      </c>
      <c r="C4" s="89"/>
      <c r="D4" s="89">
        <v>5200</v>
      </c>
      <c r="E4" s="89">
        <f t="shared" si="0"/>
        <v>5200</v>
      </c>
      <c r="F4" s="17" t="s">
        <v>65</v>
      </c>
      <c r="G4" s="99" t="s">
        <v>233</v>
      </c>
      <c r="H4" s="13" t="s">
        <v>286</v>
      </c>
      <c r="I4" s="13"/>
    </row>
    <row r="5" spans="1:9" x14ac:dyDescent="0.25">
      <c r="A5" s="13"/>
      <c r="B5" s="13" t="s">
        <v>292</v>
      </c>
      <c r="C5" s="13"/>
      <c r="D5" s="92">
        <v>3650</v>
      </c>
      <c r="E5" s="92">
        <f t="shared" si="0"/>
        <v>3650</v>
      </c>
      <c r="F5" s="17" t="s">
        <v>84</v>
      </c>
      <c r="G5" s="99" t="s">
        <v>233</v>
      </c>
      <c r="H5" s="13" t="s">
        <v>286</v>
      </c>
      <c r="I5" s="13"/>
    </row>
    <row r="6" spans="1:9" x14ac:dyDescent="0.25">
      <c r="B6" s="13" t="s">
        <v>293</v>
      </c>
      <c r="C6" s="81"/>
      <c r="D6" s="81">
        <v>300</v>
      </c>
      <c r="E6" s="89">
        <f t="shared" si="0"/>
        <v>300</v>
      </c>
      <c r="F6" s="82" t="s">
        <v>84</v>
      </c>
      <c r="G6" s="99" t="s">
        <v>233</v>
      </c>
      <c r="H6" s="13" t="s">
        <v>286</v>
      </c>
    </row>
    <row r="7" spans="1:9" x14ac:dyDescent="0.25">
      <c r="A7" s="13" t="s">
        <v>294</v>
      </c>
      <c r="B7" s="13" t="s">
        <v>295</v>
      </c>
      <c r="C7" s="81"/>
      <c r="D7" s="81">
        <v>1500</v>
      </c>
      <c r="E7" s="89">
        <f t="shared" si="0"/>
        <v>1500</v>
      </c>
      <c r="F7" s="17" t="s">
        <v>84</v>
      </c>
      <c r="G7" s="99" t="s">
        <v>233</v>
      </c>
      <c r="H7" s="13" t="s">
        <v>286</v>
      </c>
    </row>
    <row r="9" spans="1:9" x14ac:dyDescent="0.25">
      <c r="D9" s="135" t="s">
        <v>217</v>
      </c>
      <c r="E9" s="83">
        <f>SUM(E2:E7)</f>
        <v>11550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BDE59D8262C44CB903B86E84155688" ma:contentTypeVersion="18" ma:contentTypeDescription="Create a new document." ma:contentTypeScope="" ma:versionID="0fdfb01770ab02d7aa1d9a8571053fde">
  <xsd:schema xmlns:xsd="http://www.w3.org/2001/XMLSchema" xmlns:xs="http://www.w3.org/2001/XMLSchema" xmlns:p="http://schemas.microsoft.com/office/2006/metadata/properties" xmlns:ns2="a7a44b30-3045-4fa2-9ec5-dab52ee3f637" xmlns:ns3="4119112a-9b8f-4859-b694-ea4f4d5a7f4f" targetNamespace="http://schemas.microsoft.com/office/2006/metadata/properties" ma:root="true" ma:fieldsID="b510454fa17bf4ef00035a77974d017c" ns2:_="" ns3:_="">
    <xsd:import namespace="a7a44b30-3045-4fa2-9ec5-dab52ee3f637"/>
    <xsd:import namespace="4119112a-9b8f-4859-b694-ea4f4d5a7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44b30-3045-4fa2-9ec5-dab52ee3f6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e6d5a68-70fe-406e-bc19-628af3fee4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9112a-9b8f-4859-b694-ea4f4d5a7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d83ead-0148-4ffb-8311-b487488b3865}" ma:internalName="TaxCatchAll" ma:showField="CatchAllData" ma:web="4119112a-9b8f-4859-b694-ea4f4d5a7f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19112a-9b8f-4859-b694-ea4f4d5a7f4f" xsi:nil="true"/>
    <lcf76f155ced4ddcb4097134ff3c332f xmlns="a7a44b30-3045-4fa2-9ec5-dab52ee3f6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88AF75-B001-4542-86A6-2D7D1AE9EBC5}"/>
</file>

<file path=customXml/itemProps2.xml><?xml version="1.0" encoding="utf-8"?>
<ds:datastoreItem xmlns:ds="http://schemas.openxmlformats.org/officeDocument/2006/customXml" ds:itemID="{9E8AF16C-B945-46E3-9037-187ECED0B9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2293CE-A245-4EEC-8F45-3758B8BBF143}">
  <ds:schemaRefs>
    <ds:schemaRef ds:uri="http://schemas.microsoft.com/office/2006/metadata/properties"/>
    <ds:schemaRef ds:uri="http://schemas.microsoft.com/office/infopath/2007/PartnerControls"/>
    <ds:schemaRef ds:uri="4119112a-9b8f-4859-b694-ea4f4d5a7f4f"/>
    <ds:schemaRef ds:uri="a7a44b30-3045-4fa2-9ec5-dab52ee3f6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2026 Budget Monthly</vt:lpstr>
      <vt:lpstr>Income</vt:lpstr>
      <vt:lpstr>Staff</vt:lpstr>
      <vt:lpstr>6005 Consulting</vt:lpstr>
      <vt:lpstr>6011 HR</vt:lpstr>
      <vt:lpstr>6020 Accounting</vt:lpstr>
      <vt:lpstr>6025 Outside Services</vt:lpstr>
      <vt:lpstr>6208 Web-Based Services</vt:lpstr>
      <vt:lpstr>6222 PR &amp; Outreach</vt:lpstr>
      <vt:lpstr>'2026 Budget Monthly'!Print_Area</vt:lpstr>
      <vt:lpstr>Staff!Print_Area</vt:lpstr>
      <vt:lpstr>'2026 Budget Monthly'!Print_Titles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Lillian Due</dc:creator>
  <cp:keywords/>
  <dc:description/>
  <cp:lastModifiedBy>Greg Laposa</cp:lastModifiedBy>
  <cp:revision/>
  <cp:lastPrinted>2026-01-08T20:20:23Z</cp:lastPrinted>
  <dcterms:created xsi:type="dcterms:W3CDTF">2005-01-05T18:58:32Z</dcterms:created>
  <dcterms:modified xsi:type="dcterms:W3CDTF">2026-01-23T16:17:10Z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0x01010086BDE59D8262C44CB903B86E84155688</vt:lpwstr>
  </property>
  <property fmtid="{D5CDD505-2E9C-101B-9397-08002B2CF9AE}" pid="3" name="MediaServiceImageTags">
    <vt:lpwstr/>
  </property>
</Properties>
</file>